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C87" i="1" l="1"/>
  <c r="C85" i="1" l="1"/>
  <c r="D56" i="1"/>
  <c r="D51" i="1"/>
  <c r="D50" i="1" s="1"/>
  <c r="D22" i="1"/>
  <c r="D21" i="1" s="1"/>
  <c r="D14" i="1"/>
  <c r="C15" i="1"/>
  <c r="C14" i="1" s="1"/>
  <c r="E17" i="1"/>
  <c r="E18" i="1"/>
  <c r="E19" i="1"/>
  <c r="E20" i="1"/>
  <c r="E23" i="1"/>
  <c r="E24" i="1"/>
  <c r="E26" i="1"/>
  <c r="E28" i="1"/>
  <c r="E30" i="1"/>
  <c r="E32" i="1"/>
  <c r="E33" i="1"/>
  <c r="E35" i="1"/>
  <c r="E36" i="1"/>
  <c r="E44" i="1"/>
  <c r="E46" i="1"/>
  <c r="E77" i="1"/>
  <c r="E78" i="1"/>
  <c r="E79" i="1"/>
  <c r="E86" i="1"/>
  <c r="E88" i="1"/>
  <c r="E89" i="1"/>
  <c r="E91" i="1"/>
  <c r="E94" i="1"/>
  <c r="E95" i="1"/>
  <c r="E97" i="1"/>
  <c r="E98" i="1"/>
  <c r="E101" i="1"/>
  <c r="E107" i="1"/>
  <c r="E113" i="1"/>
  <c r="E120" i="1"/>
  <c r="E121" i="1"/>
  <c r="E123" i="1"/>
  <c r="E124" i="1"/>
  <c r="E128" i="1"/>
  <c r="E134" i="1"/>
  <c r="E135" i="1"/>
  <c r="E141" i="1"/>
  <c r="E142" i="1"/>
  <c r="E143" i="1"/>
  <c r="E144" i="1"/>
  <c r="E147" i="1"/>
  <c r="D146" i="1"/>
  <c r="D140" i="1"/>
  <c r="D70" i="1"/>
  <c r="D63" i="1"/>
  <c r="D60" i="1"/>
  <c r="D58" i="1"/>
  <c r="D47" i="1"/>
  <c r="D34" i="1"/>
  <c r="D31" i="1"/>
  <c r="D29" i="1" s="1"/>
  <c r="D16" i="1"/>
  <c r="D38" i="1" l="1"/>
  <c r="D41" i="1"/>
  <c r="D75" i="1"/>
  <c r="D55" i="1"/>
  <c r="D80" i="1"/>
  <c r="D119" i="1"/>
  <c r="C71" i="1"/>
  <c r="E71" i="1" s="1"/>
  <c r="C68" i="1"/>
  <c r="E68" i="1" s="1"/>
  <c r="C67" i="1"/>
  <c r="E67" i="1" s="1"/>
  <c r="C66" i="1"/>
  <c r="E66" i="1" s="1"/>
  <c r="C65" i="1"/>
  <c r="E65" i="1" s="1"/>
  <c r="C62" i="1"/>
  <c r="E62" i="1" s="1"/>
  <c r="C61" i="1"/>
  <c r="E61" i="1" s="1"/>
  <c r="C57" i="1"/>
  <c r="E57" i="1" s="1"/>
  <c r="C45" i="1"/>
  <c r="E45" i="1" s="1"/>
  <c r="C43" i="1"/>
  <c r="E43" i="1" s="1"/>
  <c r="C42" i="1"/>
  <c r="C41" i="1" l="1"/>
  <c r="E41" i="1"/>
  <c r="E42" i="1"/>
  <c r="D49" i="1"/>
  <c r="D74" i="1"/>
  <c r="C82" i="1"/>
  <c r="E82" i="1" s="1"/>
  <c r="C145" i="1"/>
  <c r="E145" i="1" s="1"/>
  <c r="C139" i="1"/>
  <c r="E139" i="1" s="1"/>
  <c r="C138" i="1"/>
  <c r="E138" i="1" s="1"/>
  <c r="C137" i="1"/>
  <c r="E137" i="1" s="1"/>
  <c r="C136" i="1"/>
  <c r="E136" i="1" s="1"/>
  <c r="C132" i="1"/>
  <c r="E132" i="1" s="1"/>
  <c r="C130" i="1"/>
  <c r="E130" i="1" s="1"/>
  <c r="C129" i="1"/>
  <c r="E129" i="1" s="1"/>
  <c r="C127" i="1"/>
  <c r="E127" i="1" s="1"/>
  <c r="C126" i="1"/>
  <c r="E126" i="1" s="1"/>
  <c r="C122" i="1"/>
  <c r="E122" i="1" s="1"/>
  <c r="C117" i="1"/>
  <c r="E117" i="1" s="1"/>
  <c r="C116" i="1"/>
  <c r="E116" i="1" s="1"/>
  <c r="C112" i="1"/>
  <c r="E112" i="1" s="1"/>
  <c r="C109" i="1"/>
  <c r="E109" i="1" s="1"/>
  <c r="C108" i="1"/>
  <c r="E108" i="1" s="1"/>
  <c r="C106" i="1"/>
  <c r="E106" i="1" s="1"/>
  <c r="C105" i="1"/>
  <c r="E105" i="1" s="1"/>
  <c r="C104" i="1"/>
  <c r="E104" i="1" s="1"/>
  <c r="C100" i="1"/>
  <c r="E100" i="1" s="1"/>
  <c r="C99" i="1"/>
  <c r="E99" i="1" s="1"/>
  <c r="C92" i="1"/>
  <c r="E92" i="1" s="1"/>
  <c r="E87" i="1"/>
  <c r="C84" i="1"/>
  <c r="E84" i="1" s="1"/>
  <c r="C83" i="1"/>
  <c r="E83" i="1" s="1"/>
  <c r="D39" i="1" l="1"/>
  <c r="C140" i="1"/>
  <c r="E140" i="1" s="1"/>
  <c r="D72" i="1" l="1"/>
  <c r="E69" i="1"/>
  <c r="C64" i="1"/>
  <c r="E64" i="1" s="1"/>
  <c r="C56" i="1"/>
  <c r="E56" i="1" s="1"/>
  <c r="C53" i="1"/>
  <c r="E53" i="1" s="1"/>
  <c r="C52" i="1"/>
  <c r="E52" i="1" s="1"/>
  <c r="C51" i="1"/>
  <c r="E51" i="1" s="1"/>
  <c r="C48" i="1"/>
  <c r="E48" i="1" s="1"/>
  <c r="C40" i="1"/>
  <c r="E40" i="1" s="1"/>
  <c r="D13" i="1" l="1"/>
  <c r="D150" i="1"/>
  <c r="C103" i="1"/>
  <c r="E103" i="1" s="1"/>
  <c r="C102" i="1"/>
  <c r="E102" i="1" s="1"/>
  <c r="C93" i="1"/>
  <c r="E93" i="1" s="1"/>
  <c r="C90" i="1"/>
  <c r="E90" i="1" s="1"/>
  <c r="C81" i="1"/>
  <c r="E81" i="1" s="1"/>
  <c r="C115" i="1" l="1"/>
  <c r="E115" i="1" s="1"/>
  <c r="C111" i="1"/>
  <c r="E111" i="1" s="1"/>
  <c r="C110" i="1"/>
  <c r="E110" i="1" s="1"/>
  <c r="E15" i="1" l="1"/>
  <c r="C96" i="1" l="1"/>
  <c r="E96" i="1" s="1"/>
  <c r="C125" i="1" l="1"/>
  <c r="E125" i="1" s="1"/>
  <c r="C118" i="1"/>
  <c r="E118" i="1" s="1"/>
  <c r="C114" i="1" l="1"/>
  <c r="E114" i="1" s="1"/>
  <c r="C133" i="1" l="1"/>
  <c r="E133" i="1" s="1"/>
  <c r="C131" i="1"/>
  <c r="E85" i="1" l="1"/>
  <c r="C63" i="1" l="1"/>
  <c r="E63" i="1" s="1"/>
  <c r="C50" i="1"/>
  <c r="E50" i="1" s="1"/>
  <c r="C119" i="1" l="1"/>
  <c r="E119" i="1" s="1"/>
  <c r="C76" i="1" l="1"/>
  <c r="E76" i="1" l="1"/>
  <c r="C75" i="1"/>
  <c r="E75" i="1" s="1"/>
  <c r="C55" i="1"/>
  <c r="E55" i="1" s="1"/>
  <c r="C60" i="1" l="1"/>
  <c r="E60" i="1" s="1"/>
  <c r="C31" i="1" l="1"/>
  <c r="E31" i="1" s="1"/>
  <c r="C49" i="1" l="1"/>
  <c r="E49" i="1" s="1"/>
  <c r="C29" i="1" l="1"/>
  <c r="E29" i="1" s="1"/>
  <c r="C146" i="1" l="1"/>
  <c r="E146" i="1" s="1"/>
  <c r="C80" i="1"/>
  <c r="E80" i="1" s="1"/>
  <c r="C70" i="1"/>
  <c r="E70" i="1" s="1"/>
  <c r="C47" i="1"/>
  <c r="E47" i="1" s="1"/>
  <c r="C34" i="1"/>
  <c r="E34" i="1" s="1"/>
  <c r="C22" i="1"/>
  <c r="C16" i="1"/>
  <c r="E14" i="1"/>
  <c r="E16" i="1" l="1"/>
  <c r="C58" i="1"/>
  <c r="E58" i="1" s="1"/>
  <c r="E59" i="1"/>
  <c r="C21" i="1"/>
  <c r="E21" i="1" s="1"/>
  <c r="E22" i="1"/>
  <c r="C74" i="1"/>
  <c r="C39" i="1"/>
  <c r="C38" i="1" l="1"/>
  <c r="C72" i="1"/>
  <c r="E72" i="1" s="1"/>
  <c r="E39" i="1"/>
  <c r="C73" i="1"/>
  <c r="E73" i="1" s="1"/>
  <c r="E74" i="1"/>
  <c r="E38" i="1"/>
  <c r="C13" i="1" l="1"/>
  <c r="E13" i="1" s="1"/>
  <c r="C150" i="1"/>
  <c r="E150" i="1" s="1"/>
</calcChain>
</file>

<file path=xl/sharedStrings.xml><?xml version="1.0" encoding="utf-8"?>
<sst xmlns="http://schemas.openxmlformats.org/spreadsheetml/2006/main" count="286" uniqueCount="277">
  <si>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</si>
  <si>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</si>
  <si>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</si>
  <si>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</si>
  <si>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</si>
  <si>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</si>
  <si>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</si>
  <si>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</si>
  <si>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</si>
  <si>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</si>
  <si>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</si>
  <si>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</si>
  <si>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</si>
  <si>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</si>
  <si>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</si>
  <si>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</si>
  <si>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</si>
  <si>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</si>
  <si>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</si>
  <si>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</si>
  <si>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</si>
  <si>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</si>
  <si>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</si>
  <si>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</si>
  <si>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</si>
  <si>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</si>
  <si>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</si>
  <si>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</si>
  <si>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</si>
  <si>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</si>
  <si>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</si>
  <si>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</si>
  <si>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</si>
  <si>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</si>
  <si>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</si>
  <si>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</si>
  <si>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</si>
  <si>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</si>
  <si>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</si>
  <si>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</si>
  <si>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</si>
  <si>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</si>
  <si>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</si>
  <si>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</si>
  <si>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</si>
  <si>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</si>
  <si>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</si>
  <si>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</si>
  <si>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</si>
  <si>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</si>
  <si>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</si>
  <si>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</si>
  <si>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</si>
  <si>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</si>
  <si>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</si>
  <si>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</si>
  <si>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</si>
  <si>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</si>
  <si>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</si>
  <si>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</si>
  <si>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</si>
  <si>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</si>
  <si>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</si>
  <si>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</si>
  <si>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</si>
  <si>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</si>
  <si>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</si>
  <si>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</si>
  <si>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</si>
  <si>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</si>
  <si>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</si>
  <si>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</si>
  <si>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</si>
  <si>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</si>
  <si>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</si>
  <si>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</si>
  <si>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</si>
  <si>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</si>
  <si>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</si>
  <si>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</si>
  <si>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</si>
  <si>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</si>
  <si>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</si>
  <si>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</si>
  <si>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</si>
  <si>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</si>
  <si>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</si>
  <si>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</si>
  <si>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</si>
  <si>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</si>
  <si>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</si>
  <si>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</si>
  <si>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</si>
  <si>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</si>
  <si>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</si>
  <si>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</si>
  <si>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</si>
  <si>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</si>
  <si>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</si>
  <si>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</si>
  <si>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</si>
  <si>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</si>
  <si>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</si>
  <si>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</si>
  <si>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</si>
  <si>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</si>
  <si>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</si>
  <si>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</si>
  <si>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</si>
  <si>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</si>
  <si>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</si>
  <si>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</si>
  <si>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</si>
  <si>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</si>
  <si>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</si>
  <si>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</si>
  <si>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</si>
  <si>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</si>
  <si>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</si>
  <si>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</si>
  <si>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</si>
  <si>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</si>
  <si>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</si>
  <si>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</si>
  <si>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</si>
  <si>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</si>
  <si>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</si>
  <si>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</si>
  <si>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</si>
  <si>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</si>
  <si>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</si>
  <si>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</si>
  <si>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</si>
  <si>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</si>
  <si>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</si>
  <si>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</si>
  <si>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</si>
  <si>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</si>
  <si>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</si>
  <si>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</si>
  <si>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</si>
  <si>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</si>
  <si>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</si>
  <si>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</si>
  <si>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</si>
  <si>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</si>
  <si>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</si>
  <si>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</si>
  <si>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</si>
  <si>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</si>
  <si>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</si>
  <si>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</si>
  <si>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</si>
  <si>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</si>
  <si>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</si>
  <si>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</si>
  <si>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</si>
  <si>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</si>
  <si>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</si>
  <si>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</si>
  <si>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</si>
  <si>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</si>
  <si>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</si>
  <si>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</si>
  <si>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</si>
  <si>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</si>
  <si>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</si>
  <si>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</si>
  <si>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</si>
  <si>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</si>
  <si>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</si>
  <si>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</si>
  <si>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</si>
  <si>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</si>
  <si>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</si>
  <si>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</si>
  <si>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</si>
  <si>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</si>
  <si>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</si>
  <si>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</si>
  <si>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</si>
  <si>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</si>
  <si>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</si>
  <si>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</si>
  <si>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</si>
  <si>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</si>
  <si>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</si>
  <si>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проведение Всероссийской переписи населения 2020 года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</si>
  <si>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</si>
  <si>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</si>
  <si>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</si>
  <si>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</si>
  <si>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</si>
  <si>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</si>
  <si>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00020235469040000150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</si>
  <si>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</si>
  <si>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</si>
  <si>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</si>
  <si>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</si>
  <si>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</si>
  <si>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</si>
  <si>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</si>
  <si>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00020239999046069150</t>
  </si>
  <si>
    <t>00020239999046071150</t>
  </si>
  <si>
    <t>00020239999046211150</t>
  </si>
  <si>
    <t>00020239999046212150</t>
  </si>
  <si>
    <t>00020239999046220150</t>
  </si>
  <si>
    <t>00020239999046221150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</si>
  <si>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</si>
  <si>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</si>
  <si>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</si>
  <si>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</si>
  <si>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</si>
  <si>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</si>
  <si>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</si>
  <si>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</si>
  <si>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</si>
  <si>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</si>
  <si>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</si>
  <si>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00020249999040771150</t>
  </si>
  <si>
    <t>Прочие межбюджетные трансферты из Резервного фонда Правительства Московской области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</si>
  <si>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</si>
  <si>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</si>
  <si>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</si>
  <si>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</si>
  <si>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</si>
  <si>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</si>
  <si>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</si>
  <si>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00020229999046167150</t>
  </si>
  <si>
    <t>На устройство контейнерных площадок</t>
  </si>
  <si>
    <t>00020229999046186150</t>
  </si>
  <si>
    <t>00020229999046187150</t>
  </si>
  <si>
    <t>На улучшение архитектурно-художественного облика улиц городов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</si>
  <si>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</si>
  <si>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</si>
  <si>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</si>
  <si>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00020249999046049150</t>
  </si>
  <si>
    <t>На адресное финансирование муниципальых учреждений дополнительного образования сферы культуры Московской области, направленное на поддержку одаренных детей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</si>
  <si>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</si>
  <si>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</si>
  <si>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</si>
  <si>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</si>
  <si>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</si>
  <si>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</si>
  <si>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00020229999046135150</t>
  </si>
  <si>
    <t>На комплексное благоустройство территорий муниципальных образований Московской области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</si>
  <si>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</si>
  <si>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</si>
  <si>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культуры, лучших сельских учреждений культуры)</t>
  </si>
  <si>
    <t>Дотация 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</si>
  <si>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00020225519040000150</t>
  </si>
  <si>
    <t>На государственную поддержку отрасли культуры за счет средств резервного фонда Правительства Российской Федерации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</si>
  <si>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На финансовое обеспечение расходов, связанных с принятием решения о возмещении транспортным организациям недополученных доходов, возникающих при выполнении работ по перевозке на автомобильном транспорте по маршрутам регулярных перевозок по нерегулируемым тарифам</t>
  </si>
  <si>
    <t>00020249999046366150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</si>
  <si>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</si>
  <si>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00020229999046065150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</si>
  <si>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</si>
  <si>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задолженность)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</si>
  <si>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</si>
  <si>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</si>
  <si>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</si>
  <si>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</si>
  <si>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от __________ № ____</t>
  </si>
  <si>
    <t>Исполнение доходов бюджета</t>
  </si>
  <si>
    <t>Наро-Фоминского городского округа за 2021 год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</si>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</sst>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abSelected="1" zoomScaleNormal="100" workbookViewId="0">
      <selection activeCell="D2" sqref="D2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4" width="14.28515625" style="1" customWidth="1"/>
    <col min="5" max="5" width="11.28515625" style="1" customWidth="1"/>
    <col min="6" max="16384" width="8.85546875" style="1"/>
  </cols>
  <sheetData>
    <row r="1" spans="1:5" x14ac:dyDescent="0.2">
      <c r="B1" s="26"/>
      <c r="C1" s="26"/>
      <c r="D1" s="22" t="s">
        <v>276</v>
      </c>
      <c r="E1" s="22"/>
    </row>
    <row r="2" spans="1:5" x14ac:dyDescent="0.2">
      <c r="B2" s="26"/>
      <c r="C2" s="26"/>
      <c r="D2" s="22" t="s">
        <v>89</v>
      </c>
      <c r="E2" s="22"/>
    </row>
    <row r="3" spans="1:5" x14ac:dyDescent="0.2">
      <c r="B3" s="26"/>
      <c r="C3" s="26"/>
      <c r="D3" s="22" t="s">
        <v>90</v>
      </c>
      <c r="E3" s="22"/>
    </row>
    <row r="4" spans="1:5" x14ac:dyDescent="0.2">
      <c r="B4" s="26"/>
      <c r="C4" s="26"/>
      <c r="D4" s="22" t="s">
        <v>91</v>
      </c>
      <c r="E4" s="22"/>
    </row>
    <row r="5" spans="1:5" x14ac:dyDescent="0.2">
      <c r="B5" s="26"/>
      <c r="C5" s="26"/>
      <c r="D5" s="22" t="s">
        <v>262</v>
      </c>
      <c r="E5" s="22"/>
    </row>
    <row r="8" spans="1:5" x14ac:dyDescent="0.2">
      <c r="A8" s="25" t="s">
        <v>263</v>
      </c>
      <c r="B8" s="25"/>
      <c r="C8" s="25"/>
      <c r="D8" s="25"/>
      <c r="E8" s="25"/>
    </row>
    <row r="9" spans="1:5" x14ac:dyDescent="0.2">
      <c r="A9" s="25" t="s">
        <v>264</v>
      </c>
      <c r="B9" s="25"/>
      <c r="C9" s="25"/>
      <c r="D9" s="25"/>
      <c r="E9" s="25"/>
    </row>
    <row r="10" spans="1:5" x14ac:dyDescent="0.2">
      <c r="A10" s="25" t="s">
        <v>265</v>
      </c>
      <c r="B10" s="25"/>
      <c r="C10" s="25"/>
      <c r="D10" s="25"/>
      <c r="E10" s="25"/>
    </row>
    <row r="12" spans="1:5" ht="25.5" x14ac:dyDescent="0.2">
      <c r="A12" s="6" t="s">
        <v>0</v>
      </c>
      <c r="B12" s="6" t="s">
        <v>2</v>
      </c>
      <c r="C12" s="6" t="s">
        <v>260</v>
      </c>
      <c r="D12" s="6" t="s">
        <v>259</v>
      </c>
      <c r="E12" s="6" t="s">
        <v>261</v>
      </c>
    </row>
    <row r="13" spans="1:5" s="4" customFormat="1" x14ac:dyDescent="0.2">
      <c r="A13" s="7" t="s">
        <v>1</v>
      </c>
      <c r="B13" s="6" t="s">
        <v>93</v>
      </c>
      <c r="C13" s="8">
        <f>C38+C72</f>
        <v>4007033</v>
      </c>
      <c r="D13" s="8">
        <f>D38+D72</f>
        <v>4555344</v>
      </c>
      <c r="E13" s="23">
        <f>D13/C13*100</f>
        <v>113.68371560703395</v>
      </c>
    </row>
    <row r="14" spans="1:5" s="4" customFormat="1" x14ac:dyDescent="0.2">
      <c r="A14" s="7" t="s">
        <v>3</v>
      </c>
      <c r="B14" s="9" t="s">
        <v>94</v>
      </c>
      <c r="C14" s="8">
        <f>C15</f>
        <v>2088948</v>
      </c>
      <c r="D14" s="8">
        <f>D15</f>
        <v>2513517</v>
      </c>
      <c r="E14" s="23">
        <f t="shared" ref="E14:E72" si="0">D14/C14*100</f>
        <v>120.32453656098667</v>
      </c>
    </row>
    <row r="15" spans="1:5" x14ac:dyDescent="0.2">
      <c r="A15" s="10" t="s">
        <v>4</v>
      </c>
      <c r="B15" s="11" t="s">
        <v>266</v>
      </c>
      <c r="C15" s="12">
        <f>707959+55831+1325158</f>
        <v>2088948</v>
      </c>
      <c r="D15" s="12">
        <v>2513517</v>
      </c>
      <c r="E15" s="24">
        <f t="shared" si="0"/>
        <v>120.32453656098667</v>
      </c>
    </row>
    <row r="16" spans="1:5" s="4" customFormat="1" ht="25.5" x14ac:dyDescent="0.2">
      <c r="A16" s="7" t="s">
        <v>5</v>
      </c>
      <c r="B16" s="9" t="s">
        <v>95</v>
      </c>
      <c r="C16" s="8">
        <f>SUM(C17:C20)</f>
        <v>79865</v>
      </c>
      <c r="D16" s="8">
        <f>SUM(D17:D20)</f>
        <v>81400</v>
      </c>
      <c r="E16" s="23">
        <f t="shared" si="0"/>
        <v>101.92199336380141</v>
      </c>
    </row>
    <row r="17" spans="1:5" ht="51" x14ac:dyDescent="0.2">
      <c r="A17" s="16" t="s">
        <v>7</v>
      </c>
      <c r="B17" s="11" t="s">
        <v>6</v>
      </c>
      <c r="C17" s="12">
        <v>36671</v>
      </c>
      <c r="D17" s="12">
        <v>37579</v>
      </c>
      <c r="E17" s="24">
        <f t="shared" si="0"/>
        <v>102.47607100978975</v>
      </c>
    </row>
    <row r="18" spans="1:5" ht="63.75" x14ac:dyDescent="0.2">
      <c r="A18" s="16" t="s">
        <v>12</v>
      </c>
      <c r="B18" s="11" t="s">
        <v>8</v>
      </c>
      <c r="C18" s="12">
        <v>209</v>
      </c>
      <c r="D18" s="12">
        <v>264</v>
      </c>
      <c r="E18" s="24">
        <f t="shared" si="0"/>
        <v>126.31578947368421</v>
      </c>
    </row>
    <row r="19" spans="1:5" ht="51" x14ac:dyDescent="0.2">
      <c r="A19" s="16" t="s">
        <v>13</v>
      </c>
      <c r="B19" s="11" t="s">
        <v>9</v>
      </c>
      <c r="C19" s="12">
        <v>48239</v>
      </c>
      <c r="D19" s="12">
        <v>49965</v>
      </c>
      <c r="E19" s="24">
        <f t="shared" si="0"/>
        <v>103.57801778643835</v>
      </c>
    </row>
    <row r="20" spans="1:5" ht="51" x14ac:dyDescent="0.2">
      <c r="A20" s="16" t="s">
        <v>14</v>
      </c>
      <c r="B20" s="11" t="s">
        <v>10</v>
      </c>
      <c r="C20" s="12">
        <v>-5254</v>
      </c>
      <c r="D20" s="12">
        <v>-6408</v>
      </c>
      <c r="E20" s="24">
        <f t="shared" si="0"/>
        <v>121.96421773886563</v>
      </c>
    </row>
    <row r="21" spans="1:5" s="4" customFormat="1" x14ac:dyDescent="0.2">
      <c r="A21" s="7" t="s">
        <v>21</v>
      </c>
      <c r="B21" s="9" t="s">
        <v>11</v>
      </c>
      <c r="C21" s="8">
        <f>C22+C26+C27+C28</f>
        <v>524609</v>
      </c>
      <c r="D21" s="8">
        <f>D22+D26+D27+D28</f>
        <v>575676</v>
      </c>
      <c r="E21" s="23">
        <f t="shared" si="0"/>
        <v>109.73429735288566</v>
      </c>
    </row>
    <row r="22" spans="1:5" ht="38.25" x14ac:dyDescent="0.2">
      <c r="A22" s="10" t="s">
        <v>22</v>
      </c>
      <c r="B22" s="11" t="s">
        <v>15</v>
      </c>
      <c r="C22" s="12">
        <f>C23+C24</f>
        <v>420944</v>
      </c>
      <c r="D22" s="12">
        <f>D23+D24+D25</f>
        <v>465976</v>
      </c>
      <c r="E22" s="24">
        <f t="shared" si="0"/>
        <v>110.69786004789235</v>
      </c>
    </row>
    <row r="23" spans="1:5" ht="25.5" x14ac:dyDescent="0.2">
      <c r="A23" s="10" t="s">
        <v>23</v>
      </c>
      <c r="B23" s="11" t="s">
        <v>16</v>
      </c>
      <c r="C23" s="12">
        <v>347700</v>
      </c>
      <c r="D23" s="12">
        <v>382707</v>
      </c>
      <c r="E23" s="24">
        <f t="shared" si="0"/>
        <v>110.06816220880069</v>
      </c>
    </row>
    <row r="24" spans="1:5" ht="55.9" customHeight="1" x14ac:dyDescent="0.2">
      <c r="A24" s="10" t="s">
        <v>24</v>
      </c>
      <c r="B24" s="11" t="s">
        <v>96</v>
      </c>
      <c r="C24" s="12">
        <v>73244</v>
      </c>
      <c r="D24" s="12">
        <v>83237</v>
      </c>
      <c r="E24" s="24">
        <f t="shared" si="0"/>
        <v>113.64343837037848</v>
      </c>
    </row>
    <row r="25" spans="1:5" ht="31.9" customHeight="1" x14ac:dyDescent="0.2">
      <c r="A25" s="10" t="s">
        <v>267</v>
      </c>
      <c r="B25" s="11" t="s">
        <v>268</v>
      </c>
      <c r="C25" s="12"/>
      <c r="D25" s="12">
        <v>32</v>
      </c>
      <c r="E25" s="24"/>
    </row>
    <row r="26" spans="1:5" ht="13.15" customHeight="1" x14ac:dyDescent="0.2">
      <c r="A26" s="10" t="s">
        <v>25</v>
      </c>
      <c r="B26" s="11" t="s">
        <v>17</v>
      </c>
      <c r="C26" s="12">
        <v>18104</v>
      </c>
      <c r="D26" s="12">
        <v>20326</v>
      </c>
      <c r="E26" s="24">
        <f t="shared" si="0"/>
        <v>112.27353071144499</v>
      </c>
    </row>
    <row r="27" spans="1:5" x14ac:dyDescent="0.2">
      <c r="A27" s="10" t="s">
        <v>26</v>
      </c>
      <c r="B27" s="11" t="s">
        <v>18</v>
      </c>
      <c r="C27" s="12"/>
      <c r="D27" s="12">
        <v>-4025</v>
      </c>
      <c r="E27" s="24"/>
    </row>
    <row r="28" spans="1:5" ht="25.5" x14ac:dyDescent="0.2">
      <c r="A28" s="10" t="s">
        <v>27</v>
      </c>
      <c r="B28" s="11" t="s">
        <v>19</v>
      </c>
      <c r="C28" s="12">
        <v>85561</v>
      </c>
      <c r="D28" s="12">
        <v>93399</v>
      </c>
      <c r="E28" s="24">
        <f t="shared" si="0"/>
        <v>109.16071574666029</v>
      </c>
    </row>
    <row r="29" spans="1:5" s="4" customFormat="1" x14ac:dyDescent="0.2">
      <c r="A29" s="7" t="s">
        <v>105</v>
      </c>
      <c r="B29" s="9" t="s">
        <v>20</v>
      </c>
      <c r="C29" s="8">
        <f>SUM(C30:C31)</f>
        <v>725725</v>
      </c>
      <c r="D29" s="8">
        <f>SUM(D30:D31)</f>
        <v>756822</v>
      </c>
      <c r="E29" s="23">
        <f t="shared" si="0"/>
        <v>104.28495642288746</v>
      </c>
    </row>
    <row r="30" spans="1:5" ht="38.25" x14ac:dyDescent="0.2">
      <c r="A30" s="10" t="s">
        <v>31</v>
      </c>
      <c r="B30" s="11" t="s">
        <v>28</v>
      </c>
      <c r="C30" s="12">
        <v>190030</v>
      </c>
      <c r="D30" s="12">
        <v>205895</v>
      </c>
      <c r="E30" s="24">
        <f t="shared" si="0"/>
        <v>108.34868178708625</v>
      </c>
    </row>
    <row r="31" spans="1:5" x14ac:dyDescent="0.2">
      <c r="A31" s="7" t="s">
        <v>114</v>
      </c>
      <c r="B31" s="9" t="s">
        <v>115</v>
      </c>
      <c r="C31" s="8">
        <f>C32+C33</f>
        <v>535695</v>
      </c>
      <c r="D31" s="8">
        <f>D32+D33</f>
        <v>550927</v>
      </c>
      <c r="E31" s="23">
        <f t="shared" si="0"/>
        <v>102.84340902939174</v>
      </c>
    </row>
    <row r="32" spans="1:5" ht="25.5" x14ac:dyDescent="0.2">
      <c r="A32" s="10" t="s">
        <v>32</v>
      </c>
      <c r="B32" s="11" t="s">
        <v>29</v>
      </c>
      <c r="C32" s="15">
        <v>285489</v>
      </c>
      <c r="D32" s="15">
        <v>309605</v>
      </c>
      <c r="E32" s="24">
        <f t="shared" si="0"/>
        <v>108.44726066503438</v>
      </c>
    </row>
    <row r="33" spans="1:5" ht="25.5" x14ac:dyDescent="0.2">
      <c r="A33" s="10" t="s">
        <v>33</v>
      </c>
      <c r="B33" s="11" t="s">
        <v>30</v>
      </c>
      <c r="C33" s="15">
        <v>250206</v>
      </c>
      <c r="D33" s="15">
        <v>241322</v>
      </c>
      <c r="E33" s="24">
        <f t="shared" si="0"/>
        <v>96.449325755577405</v>
      </c>
    </row>
    <row r="34" spans="1:5" s="4" customFormat="1" x14ac:dyDescent="0.2">
      <c r="A34" s="7" t="s">
        <v>37</v>
      </c>
      <c r="B34" s="9" t="s">
        <v>34</v>
      </c>
      <c r="C34" s="8">
        <f>SUM(C35:C36)</f>
        <v>27618</v>
      </c>
      <c r="D34" s="8">
        <f>SUM(D35:D36)</f>
        <v>33984</v>
      </c>
      <c r="E34" s="23">
        <f t="shared" si="0"/>
        <v>123.05018466217683</v>
      </c>
    </row>
    <row r="35" spans="1:5" ht="38.25" x14ac:dyDescent="0.2">
      <c r="A35" s="10" t="s">
        <v>38</v>
      </c>
      <c r="B35" s="11" t="s">
        <v>106</v>
      </c>
      <c r="C35" s="12">
        <v>27398</v>
      </c>
      <c r="D35" s="12">
        <v>33754</v>
      </c>
      <c r="E35" s="24">
        <f t="shared" si="0"/>
        <v>123.19877363311191</v>
      </c>
    </row>
    <row r="36" spans="1:5" ht="25.5" x14ac:dyDescent="0.2">
      <c r="A36" s="10" t="s">
        <v>39</v>
      </c>
      <c r="B36" s="11" t="s">
        <v>35</v>
      </c>
      <c r="C36" s="12">
        <v>220</v>
      </c>
      <c r="D36" s="12">
        <v>230</v>
      </c>
      <c r="E36" s="24">
        <f t="shared" si="0"/>
        <v>104.54545454545455</v>
      </c>
    </row>
    <row r="37" spans="1:5" ht="25.5" x14ac:dyDescent="0.2">
      <c r="A37" s="7" t="s">
        <v>270</v>
      </c>
      <c r="B37" s="9" t="s">
        <v>271</v>
      </c>
      <c r="C37" s="8"/>
      <c r="D37" s="8">
        <v>278</v>
      </c>
      <c r="E37" s="24"/>
    </row>
    <row r="38" spans="1:5" s="4" customFormat="1" x14ac:dyDescent="0.2">
      <c r="A38" s="7"/>
      <c r="B38" s="9" t="s">
        <v>36</v>
      </c>
      <c r="C38" s="8">
        <f>C14+C16+C21+C29+C34+C37</f>
        <v>3446765</v>
      </c>
      <c r="D38" s="8">
        <f>D14+D16+D21+D29+D34+D37</f>
        <v>3961677</v>
      </c>
      <c r="E38" s="23">
        <f t="shared" si="0"/>
        <v>114.9389935200108</v>
      </c>
    </row>
    <row r="39" spans="1:5" s="4" customFormat="1" ht="25.5" x14ac:dyDescent="0.2">
      <c r="A39" s="7" t="s">
        <v>45</v>
      </c>
      <c r="B39" s="9" t="s">
        <v>40</v>
      </c>
      <c r="C39" s="8">
        <f>C40+C41+C47+C49</f>
        <v>323943</v>
      </c>
      <c r="D39" s="8">
        <f>D40+D41+D47+D49</f>
        <v>337580</v>
      </c>
      <c r="E39" s="23">
        <f t="shared" si="0"/>
        <v>104.20969121110812</v>
      </c>
    </row>
    <row r="40" spans="1:5" s="4" customFormat="1" ht="42.6" customHeight="1" x14ac:dyDescent="0.2">
      <c r="A40" s="7" t="s">
        <v>46</v>
      </c>
      <c r="B40" s="9" t="s">
        <v>41</v>
      </c>
      <c r="C40" s="8">
        <f>1000+1752</f>
        <v>2752</v>
      </c>
      <c r="D40" s="8">
        <v>2753</v>
      </c>
      <c r="E40" s="23">
        <f t="shared" si="0"/>
        <v>100.03633720930232</v>
      </c>
    </row>
    <row r="41" spans="1:5" s="4" customFormat="1" ht="63.75" x14ac:dyDescent="0.2">
      <c r="A41" s="7" t="s">
        <v>47</v>
      </c>
      <c r="B41" s="9" t="s">
        <v>42</v>
      </c>
      <c r="C41" s="8">
        <f>C42+C45+C43+C46+C44</f>
        <v>278915</v>
      </c>
      <c r="D41" s="8">
        <f>D42+D45+D43+D46+D44</f>
        <v>288820</v>
      </c>
      <c r="E41" s="23">
        <f t="shared" si="0"/>
        <v>103.55126113690551</v>
      </c>
    </row>
    <row r="42" spans="1:5" ht="63.75" x14ac:dyDescent="0.2">
      <c r="A42" s="10" t="s">
        <v>48</v>
      </c>
      <c r="B42" s="11" t="s">
        <v>43</v>
      </c>
      <c r="C42" s="12">
        <f>142944+10500+23378+24700</f>
        <v>201522</v>
      </c>
      <c r="D42" s="12">
        <v>209179</v>
      </c>
      <c r="E42" s="24">
        <f t="shared" si="0"/>
        <v>103.79958515695557</v>
      </c>
    </row>
    <row r="43" spans="1:5" ht="63.75" x14ac:dyDescent="0.2">
      <c r="A43" s="10" t="s">
        <v>107</v>
      </c>
      <c r="B43" s="11" t="s">
        <v>238</v>
      </c>
      <c r="C43" s="12">
        <f>18720+11793+19200</f>
        <v>49713</v>
      </c>
      <c r="D43" s="12">
        <v>50904</v>
      </c>
      <c r="E43" s="24">
        <f t="shared" si="0"/>
        <v>102.39575161426589</v>
      </c>
    </row>
    <row r="44" spans="1:5" ht="63.75" x14ac:dyDescent="0.2">
      <c r="A44" s="10" t="s">
        <v>256</v>
      </c>
      <c r="B44" s="11" t="s">
        <v>257</v>
      </c>
      <c r="C44" s="12">
        <v>7</v>
      </c>
      <c r="D44" s="12">
        <v>7</v>
      </c>
      <c r="E44" s="24">
        <f t="shared" si="0"/>
        <v>100</v>
      </c>
    </row>
    <row r="45" spans="1:5" ht="25.5" x14ac:dyDescent="0.2">
      <c r="A45" s="10" t="s">
        <v>49</v>
      </c>
      <c r="B45" s="11" t="s">
        <v>44</v>
      </c>
      <c r="C45" s="12">
        <f>22556+3717+1200</f>
        <v>27473</v>
      </c>
      <c r="D45" s="12">
        <v>28545</v>
      </c>
      <c r="E45" s="24">
        <f t="shared" si="0"/>
        <v>103.90201288537837</v>
      </c>
    </row>
    <row r="46" spans="1:5" ht="89.25" x14ac:dyDescent="0.2">
      <c r="A46" s="10" t="s">
        <v>108</v>
      </c>
      <c r="B46" s="11" t="s">
        <v>109</v>
      </c>
      <c r="C46" s="12">
        <v>200</v>
      </c>
      <c r="D46" s="12">
        <v>185</v>
      </c>
      <c r="E46" s="24">
        <f t="shared" si="0"/>
        <v>92.5</v>
      </c>
    </row>
    <row r="47" spans="1:5" s="4" customFormat="1" ht="25.5" x14ac:dyDescent="0.2">
      <c r="A47" s="7" t="s">
        <v>52</v>
      </c>
      <c r="B47" s="9" t="s">
        <v>50</v>
      </c>
      <c r="C47" s="8">
        <f>C48</f>
        <v>1716</v>
      </c>
      <c r="D47" s="8">
        <f>D48</f>
        <v>1716</v>
      </c>
      <c r="E47" s="23">
        <f t="shared" si="0"/>
        <v>100</v>
      </c>
    </row>
    <row r="48" spans="1:5" ht="38.25" x14ac:dyDescent="0.2">
      <c r="A48" s="10" t="s">
        <v>53</v>
      </c>
      <c r="B48" s="11" t="s">
        <v>51</v>
      </c>
      <c r="C48" s="12">
        <f>1500+216</f>
        <v>1716</v>
      </c>
      <c r="D48" s="12">
        <v>1716</v>
      </c>
      <c r="E48" s="24">
        <f t="shared" si="0"/>
        <v>100</v>
      </c>
    </row>
    <row r="49" spans="1:5" s="4" customFormat="1" ht="69" customHeight="1" x14ac:dyDescent="0.2">
      <c r="A49" s="7" t="s">
        <v>54</v>
      </c>
      <c r="B49" s="9" t="s">
        <v>55</v>
      </c>
      <c r="C49" s="8">
        <f>C50+C55</f>
        <v>40560</v>
      </c>
      <c r="D49" s="8">
        <f>D50+D55</f>
        <v>44291</v>
      </c>
      <c r="E49" s="23">
        <f t="shared" si="0"/>
        <v>109.19871794871794</v>
      </c>
    </row>
    <row r="50" spans="1:5" ht="63.75" x14ac:dyDescent="0.2">
      <c r="A50" s="10" t="s">
        <v>56</v>
      </c>
      <c r="B50" s="11" t="s">
        <v>57</v>
      </c>
      <c r="C50" s="12">
        <f>C51+C52+C53</f>
        <v>26360</v>
      </c>
      <c r="D50" s="12">
        <f>D51+D52+D53+D54</f>
        <v>26853</v>
      </c>
      <c r="E50" s="24">
        <f t="shared" si="0"/>
        <v>101.87025796661608</v>
      </c>
    </row>
    <row r="51" spans="1:5" s="5" customFormat="1" x14ac:dyDescent="0.2">
      <c r="A51" s="13" t="s">
        <v>56</v>
      </c>
      <c r="B51" s="14" t="s">
        <v>104</v>
      </c>
      <c r="C51" s="12">
        <f>29000-6753</f>
        <v>22247</v>
      </c>
      <c r="D51" s="12">
        <f>20850+85</f>
        <v>20935</v>
      </c>
      <c r="E51" s="24">
        <f t="shared" si="0"/>
        <v>94.102575628174591</v>
      </c>
    </row>
    <row r="52" spans="1:5" s="5" customFormat="1" x14ac:dyDescent="0.2">
      <c r="A52" s="13" t="s">
        <v>56</v>
      </c>
      <c r="B52" s="14" t="s">
        <v>116</v>
      </c>
      <c r="C52" s="12">
        <f>2000+418</f>
        <v>2418</v>
      </c>
      <c r="D52" s="12">
        <v>2761</v>
      </c>
      <c r="E52" s="24">
        <f t="shared" si="0"/>
        <v>114.1852770885029</v>
      </c>
    </row>
    <row r="53" spans="1:5" s="5" customFormat="1" x14ac:dyDescent="0.2">
      <c r="A53" s="13" t="s">
        <v>56</v>
      </c>
      <c r="B53" s="14" t="s">
        <v>221</v>
      </c>
      <c r="C53" s="12">
        <f>348+1347</f>
        <v>1695</v>
      </c>
      <c r="D53" s="12">
        <v>3155</v>
      </c>
      <c r="E53" s="24">
        <f t="shared" si="0"/>
        <v>186.13569321533922</v>
      </c>
    </row>
    <row r="54" spans="1:5" s="5" customFormat="1" x14ac:dyDescent="0.2">
      <c r="A54" s="13" t="s">
        <v>56</v>
      </c>
      <c r="B54" s="14" t="s">
        <v>269</v>
      </c>
      <c r="C54" s="12"/>
      <c r="D54" s="12">
        <v>2</v>
      </c>
      <c r="E54" s="24"/>
    </row>
    <row r="55" spans="1:5" s="5" customFormat="1" ht="76.5" x14ac:dyDescent="0.2">
      <c r="A55" s="10" t="s">
        <v>122</v>
      </c>
      <c r="B55" s="11" t="s">
        <v>123</v>
      </c>
      <c r="C55" s="12">
        <f>C56+C57</f>
        <v>14200</v>
      </c>
      <c r="D55" s="12">
        <f>D56+D57</f>
        <v>17438</v>
      </c>
      <c r="E55" s="24">
        <f t="shared" si="0"/>
        <v>122.80281690140843</v>
      </c>
    </row>
    <row r="56" spans="1:5" s="5" customFormat="1" ht="25.5" x14ac:dyDescent="0.2">
      <c r="A56" s="13" t="s">
        <v>122</v>
      </c>
      <c r="B56" s="14" t="s">
        <v>124</v>
      </c>
      <c r="C56" s="12">
        <f>2900+1100+1500</f>
        <v>5500</v>
      </c>
      <c r="D56" s="12">
        <f>5684+115</f>
        <v>5799</v>
      </c>
      <c r="E56" s="24">
        <f t="shared" si="0"/>
        <v>105.43636363636364</v>
      </c>
    </row>
    <row r="57" spans="1:5" s="5" customFormat="1" x14ac:dyDescent="0.2">
      <c r="A57" s="13" t="s">
        <v>122</v>
      </c>
      <c r="B57" s="14" t="s">
        <v>58</v>
      </c>
      <c r="C57" s="12">
        <f>7500+1200</f>
        <v>8700</v>
      </c>
      <c r="D57" s="12">
        <v>11639</v>
      </c>
      <c r="E57" s="24">
        <f t="shared" si="0"/>
        <v>133.7816091954023</v>
      </c>
    </row>
    <row r="58" spans="1:5" s="4" customFormat="1" x14ac:dyDescent="0.2">
      <c r="A58" s="7" t="s">
        <v>60</v>
      </c>
      <c r="B58" s="9" t="s">
        <v>59</v>
      </c>
      <c r="C58" s="8">
        <f>C59</f>
        <v>8424</v>
      </c>
      <c r="D58" s="8">
        <f>D59</f>
        <v>5741</v>
      </c>
      <c r="E58" s="23">
        <f t="shared" si="0"/>
        <v>68.150522317188987</v>
      </c>
    </row>
    <row r="59" spans="1:5" x14ac:dyDescent="0.2">
      <c r="A59" s="10" t="s">
        <v>62</v>
      </c>
      <c r="B59" s="11" t="s">
        <v>61</v>
      </c>
      <c r="C59" s="12">
        <v>8424</v>
      </c>
      <c r="D59" s="12">
        <v>5741</v>
      </c>
      <c r="E59" s="24">
        <f t="shared" si="0"/>
        <v>68.150522317188987</v>
      </c>
    </row>
    <row r="60" spans="1:5" ht="25.5" x14ac:dyDescent="0.2">
      <c r="A60" s="7" t="s">
        <v>110</v>
      </c>
      <c r="B60" s="9" t="s">
        <v>112</v>
      </c>
      <c r="C60" s="8">
        <f>C62+C61</f>
        <v>21638</v>
      </c>
      <c r="D60" s="8">
        <f>D62+D61</f>
        <v>22606</v>
      </c>
      <c r="E60" s="23">
        <f t="shared" si="0"/>
        <v>104.47361123948609</v>
      </c>
    </row>
    <row r="61" spans="1:5" ht="25.5" x14ac:dyDescent="0.2">
      <c r="A61" s="10" t="s">
        <v>118</v>
      </c>
      <c r="B61" s="11" t="s">
        <v>119</v>
      </c>
      <c r="C61" s="12">
        <f>3000+4000+3135+750</f>
        <v>10885</v>
      </c>
      <c r="D61" s="15">
        <v>11194</v>
      </c>
      <c r="E61" s="24">
        <f t="shared" si="0"/>
        <v>102.83876894809372</v>
      </c>
    </row>
    <row r="62" spans="1:5" x14ac:dyDescent="0.2">
      <c r="A62" s="10" t="s">
        <v>111</v>
      </c>
      <c r="B62" s="11" t="s">
        <v>113</v>
      </c>
      <c r="C62" s="12">
        <f>4500+5733+520</f>
        <v>10753</v>
      </c>
      <c r="D62" s="12">
        <v>11412</v>
      </c>
      <c r="E62" s="24">
        <f t="shared" si="0"/>
        <v>106.1285222728541</v>
      </c>
    </row>
    <row r="63" spans="1:5" s="4" customFormat="1" x14ac:dyDescent="0.2">
      <c r="A63" s="7" t="s">
        <v>63</v>
      </c>
      <c r="B63" s="9" t="s">
        <v>64</v>
      </c>
      <c r="C63" s="8">
        <f>SUM(C64:C68)</f>
        <v>186856</v>
      </c>
      <c r="D63" s="8">
        <f>SUM(D64:D68)</f>
        <v>197232</v>
      </c>
      <c r="E63" s="23">
        <f t="shared" si="0"/>
        <v>105.5529391617074</v>
      </c>
    </row>
    <row r="64" spans="1:5" ht="25.5" x14ac:dyDescent="0.2">
      <c r="A64" s="10" t="s">
        <v>222</v>
      </c>
      <c r="B64" s="11" t="s">
        <v>223</v>
      </c>
      <c r="C64" s="12">
        <f>6366+7117</f>
        <v>13483</v>
      </c>
      <c r="D64" s="12">
        <v>15870</v>
      </c>
      <c r="E64" s="24">
        <f t="shared" si="0"/>
        <v>117.70377512423052</v>
      </c>
    </row>
    <row r="65" spans="1:5" ht="76.5" x14ac:dyDescent="0.2">
      <c r="A65" s="10" t="s">
        <v>66</v>
      </c>
      <c r="B65" s="11" t="s">
        <v>65</v>
      </c>
      <c r="C65" s="12">
        <f>28592-7000+2715+4460</f>
        <v>28767</v>
      </c>
      <c r="D65" s="12">
        <v>28676</v>
      </c>
      <c r="E65" s="24">
        <f t="shared" si="0"/>
        <v>99.683665310946566</v>
      </c>
    </row>
    <row r="66" spans="1:5" ht="38.25" x14ac:dyDescent="0.2">
      <c r="A66" s="10" t="s">
        <v>67</v>
      </c>
      <c r="B66" s="11" t="s">
        <v>68</v>
      </c>
      <c r="C66" s="12">
        <f>15000+3500+9100</f>
        <v>27600</v>
      </c>
      <c r="D66" s="12">
        <v>28864</v>
      </c>
      <c r="E66" s="24">
        <f t="shared" si="0"/>
        <v>104.57971014492753</v>
      </c>
    </row>
    <row r="67" spans="1:5" ht="38.25" x14ac:dyDescent="0.2">
      <c r="A67" s="10" t="s">
        <v>224</v>
      </c>
      <c r="B67" s="11" t="s">
        <v>225</v>
      </c>
      <c r="C67" s="12">
        <f>219+837+1450</f>
        <v>2506</v>
      </c>
      <c r="D67" s="12">
        <v>2697</v>
      </c>
      <c r="E67" s="24">
        <f t="shared" si="0"/>
        <v>107.62170790103751</v>
      </c>
    </row>
    <row r="68" spans="1:5" ht="63.75" x14ac:dyDescent="0.2">
      <c r="A68" s="10" t="s">
        <v>120</v>
      </c>
      <c r="B68" s="11" t="s">
        <v>121</v>
      </c>
      <c r="C68" s="12">
        <f>56000+10000+12200+27500+8800</f>
        <v>114500</v>
      </c>
      <c r="D68" s="12">
        <v>121125</v>
      </c>
      <c r="E68" s="24">
        <f t="shared" si="0"/>
        <v>105.78602620087337</v>
      </c>
    </row>
    <row r="69" spans="1:5" s="4" customFormat="1" x14ac:dyDescent="0.2">
      <c r="A69" s="7" t="s">
        <v>70</v>
      </c>
      <c r="B69" s="9" t="s">
        <v>69</v>
      </c>
      <c r="C69" s="8">
        <v>13371</v>
      </c>
      <c r="D69" s="8">
        <v>24295</v>
      </c>
      <c r="E69" s="23">
        <f t="shared" si="0"/>
        <v>181.69919976067609</v>
      </c>
    </row>
    <row r="70" spans="1:5" s="4" customFormat="1" x14ac:dyDescent="0.2">
      <c r="A70" s="7" t="s">
        <v>72</v>
      </c>
      <c r="B70" s="9" t="s">
        <v>71</v>
      </c>
      <c r="C70" s="8">
        <f>C71</f>
        <v>6036</v>
      </c>
      <c r="D70" s="8">
        <f>D71</f>
        <v>6213</v>
      </c>
      <c r="E70" s="23">
        <f t="shared" si="0"/>
        <v>102.93240556660039</v>
      </c>
    </row>
    <row r="71" spans="1:5" x14ac:dyDescent="0.2">
      <c r="A71" s="10" t="s">
        <v>73</v>
      </c>
      <c r="B71" s="11" t="s">
        <v>74</v>
      </c>
      <c r="C71" s="12">
        <f>1100+4835+101</f>
        <v>6036</v>
      </c>
      <c r="D71" s="12">
        <v>6213</v>
      </c>
      <c r="E71" s="24">
        <f t="shared" si="0"/>
        <v>102.93240556660039</v>
      </c>
    </row>
    <row r="72" spans="1:5" s="4" customFormat="1" x14ac:dyDescent="0.2">
      <c r="A72" s="7"/>
      <c r="B72" s="9" t="s">
        <v>75</v>
      </c>
      <c r="C72" s="8">
        <f>C39+C58+C63+C69+C70+C60</f>
        <v>560268</v>
      </c>
      <c r="D72" s="8">
        <f>D39+D58+D63+D69+D70+D60</f>
        <v>593667</v>
      </c>
      <c r="E72" s="23">
        <f t="shared" si="0"/>
        <v>105.96125425689134</v>
      </c>
    </row>
    <row r="73" spans="1:5" s="4" customFormat="1" x14ac:dyDescent="0.2">
      <c r="A73" s="7" t="s">
        <v>77</v>
      </c>
      <c r="B73" s="9" t="s">
        <v>76</v>
      </c>
      <c r="C73" s="8">
        <f>C74+C146</f>
        <v>5619797</v>
      </c>
      <c r="D73" s="8">
        <f>D74+D146+D148+D149</f>
        <v>5522618</v>
      </c>
      <c r="E73" s="23">
        <f t="shared" ref="E73:E133" si="1">D73/C73*100</f>
        <v>98.270773837560327</v>
      </c>
    </row>
    <row r="74" spans="1:5" s="4" customFormat="1" ht="25.5" x14ac:dyDescent="0.2">
      <c r="A74" s="7" t="s">
        <v>78</v>
      </c>
      <c r="B74" s="9" t="s">
        <v>79</v>
      </c>
      <c r="C74" s="8">
        <f>C75+C80+C119+C140</f>
        <v>5619797</v>
      </c>
      <c r="D74" s="8">
        <f>D75+D80+D119+D140</f>
        <v>5529022</v>
      </c>
      <c r="E74" s="23">
        <f t="shared" si="1"/>
        <v>98.384728131638923</v>
      </c>
    </row>
    <row r="75" spans="1:5" s="4" customFormat="1" x14ac:dyDescent="0.2">
      <c r="A75" s="7" t="s">
        <v>80</v>
      </c>
      <c r="B75" s="9" t="s">
        <v>97</v>
      </c>
      <c r="C75" s="8">
        <f>C76+C77+C78+C79</f>
        <v>129243</v>
      </c>
      <c r="D75" s="8">
        <f>D76+D77+D78+D79</f>
        <v>129243</v>
      </c>
      <c r="E75" s="23">
        <f t="shared" si="1"/>
        <v>100</v>
      </c>
    </row>
    <row r="76" spans="1:5" ht="25.5" x14ac:dyDescent="0.2">
      <c r="A76" s="10" t="s">
        <v>81</v>
      </c>
      <c r="B76" s="11" t="s">
        <v>117</v>
      </c>
      <c r="C76" s="12">
        <f>909+2123</f>
        <v>3032</v>
      </c>
      <c r="D76" s="12">
        <v>3032</v>
      </c>
      <c r="E76" s="24">
        <f t="shared" si="1"/>
        <v>100</v>
      </c>
    </row>
    <row r="77" spans="1:5" ht="25.5" x14ac:dyDescent="0.2">
      <c r="A77" s="10" t="s">
        <v>217</v>
      </c>
      <c r="B77" s="11" t="s">
        <v>218</v>
      </c>
      <c r="C77" s="12">
        <v>55000</v>
      </c>
      <c r="D77" s="12">
        <v>55000</v>
      </c>
      <c r="E77" s="24">
        <f t="shared" si="1"/>
        <v>100</v>
      </c>
    </row>
    <row r="78" spans="1:5" ht="51" x14ac:dyDescent="0.2">
      <c r="A78" s="10" t="s">
        <v>217</v>
      </c>
      <c r="B78" s="11" t="s">
        <v>249</v>
      </c>
      <c r="C78" s="12">
        <v>68036</v>
      </c>
      <c r="D78" s="12">
        <v>68036</v>
      </c>
      <c r="E78" s="24">
        <f t="shared" si="1"/>
        <v>100</v>
      </c>
    </row>
    <row r="79" spans="1:5" ht="38.25" x14ac:dyDescent="0.2">
      <c r="A79" s="10" t="s">
        <v>217</v>
      </c>
      <c r="B79" s="11" t="s">
        <v>254</v>
      </c>
      <c r="C79" s="12">
        <v>3175</v>
      </c>
      <c r="D79" s="12">
        <v>3175</v>
      </c>
      <c r="E79" s="24">
        <f t="shared" si="1"/>
        <v>100</v>
      </c>
    </row>
    <row r="80" spans="1:5" s="4" customFormat="1" ht="25.5" x14ac:dyDescent="0.2">
      <c r="A80" s="7" t="s">
        <v>82</v>
      </c>
      <c r="B80" s="9" t="s">
        <v>98</v>
      </c>
      <c r="C80" s="8">
        <f>SUM(C81:C118)</f>
        <v>2804449</v>
      </c>
      <c r="D80" s="8">
        <f>SUM(D81:D118)</f>
        <v>2750827</v>
      </c>
      <c r="E80" s="23">
        <f t="shared" si="1"/>
        <v>98.087966655838628</v>
      </c>
    </row>
    <row r="81" spans="1:5" ht="25.5" x14ac:dyDescent="0.2">
      <c r="A81" s="10" t="s">
        <v>126</v>
      </c>
      <c r="B81" s="11" t="s">
        <v>125</v>
      </c>
      <c r="C81" s="12">
        <f>47723+68763+16000+42000+42000+20000</f>
        <v>236486</v>
      </c>
      <c r="D81" s="12">
        <v>218760</v>
      </c>
      <c r="E81" s="24">
        <f t="shared" si="1"/>
        <v>92.504418866233095</v>
      </c>
    </row>
    <row r="82" spans="1:5" ht="51" x14ac:dyDescent="0.2">
      <c r="A82" s="10" t="s">
        <v>128</v>
      </c>
      <c r="B82" s="11" t="s">
        <v>127</v>
      </c>
      <c r="C82" s="12">
        <f>6275-602</f>
        <v>5673</v>
      </c>
      <c r="D82" s="12">
        <v>5673</v>
      </c>
      <c r="E82" s="24">
        <f t="shared" si="1"/>
        <v>100</v>
      </c>
    </row>
    <row r="83" spans="1:5" ht="63.75" x14ac:dyDescent="0.2">
      <c r="A83" s="10" t="s">
        <v>130</v>
      </c>
      <c r="B83" s="11" t="s">
        <v>129</v>
      </c>
      <c r="C83" s="12">
        <f>13482+3539-4285</f>
        <v>12736</v>
      </c>
      <c r="D83" s="12">
        <v>12575</v>
      </c>
      <c r="E83" s="24">
        <f t="shared" si="1"/>
        <v>98.735866834170849</v>
      </c>
    </row>
    <row r="84" spans="1:5" ht="38.25" x14ac:dyDescent="0.2">
      <c r="A84" s="10" t="s">
        <v>215</v>
      </c>
      <c r="B84" s="17" t="s">
        <v>216</v>
      </c>
      <c r="C84" s="15">
        <f>892619+645822-62363</f>
        <v>1476078</v>
      </c>
      <c r="D84" s="15">
        <v>1476077</v>
      </c>
      <c r="E84" s="24">
        <f t="shared" si="1"/>
        <v>99.999932252902624</v>
      </c>
    </row>
    <row r="85" spans="1:5" ht="89.25" x14ac:dyDescent="0.2">
      <c r="A85" s="10" t="s">
        <v>132</v>
      </c>
      <c r="B85" s="17" t="s">
        <v>131</v>
      </c>
      <c r="C85" s="12">
        <f>3702+343+1-343</f>
        <v>3703</v>
      </c>
      <c r="D85" s="12">
        <v>3702</v>
      </c>
      <c r="E85" s="24">
        <f t="shared" si="1"/>
        <v>99.972994869025115</v>
      </c>
    </row>
    <row r="86" spans="1:5" ht="25.5" x14ac:dyDescent="0.2">
      <c r="A86" s="10" t="s">
        <v>134</v>
      </c>
      <c r="B86" s="17" t="s">
        <v>133</v>
      </c>
      <c r="C86" s="12">
        <v>9281</v>
      </c>
      <c r="D86" s="12">
        <v>7221</v>
      </c>
      <c r="E86" s="24">
        <f t="shared" si="1"/>
        <v>77.804115935782775</v>
      </c>
    </row>
    <row r="87" spans="1:5" ht="38.25" x14ac:dyDescent="0.2">
      <c r="A87" s="10" t="s">
        <v>136</v>
      </c>
      <c r="B87" s="11" t="s">
        <v>135</v>
      </c>
      <c r="C87" s="12">
        <f>85025+975-975-8867+343+975</f>
        <v>77476</v>
      </c>
      <c r="D87" s="12">
        <v>70014</v>
      </c>
      <c r="E87" s="24">
        <f t="shared" si="1"/>
        <v>90.368630285507763</v>
      </c>
    </row>
    <row r="88" spans="1:5" ht="25.5" x14ac:dyDescent="0.2">
      <c r="A88" s="10" t="s">
        <v>211</v>
      </c>
      <c r="B88" s="11" t="s">
        <v>212</v>
      </c>
      <c r="C88" s="12">
        <v>11396</v>
      </c>
      <c r="D88" s="12">
        <v>11396</v>
      </c>
      <c r="E88" s="24">
        <f t="shared" si="1"/>
        <v>100</v>
      </c>
    </row>
    <row r="89" spans="1:5" ht="63.75" x14ac:dyDescent="0.2">
      <c r="A89" s="10" t="s">
        <v>250</v>
      </c>
      <c r="B89" s="11" t="s">
        <v>251</v>
      </c>
      <c r="C89" s="12">
        <v>825</v>
      </c>
      <c r="D89" s="12">
        <v>825</v>
      </c>
      <c r="E89" s="24">
        <f t="shared" si="1"/>
        <v>100</v>
      </c>
    </row>
    <row r="90" spans="1:5" x14ac:dyDescent="0.2">
      <c r="A90" s="10" t="s">
        <v>138</v>
      </c>
      <c r="B90" s="17" t="s">
        <v>137</v>
      </c>
      <c r="C90" s="15">
        <f>12085+242230+19886+98078</f>
        <v>372279</v>
      </c>
      <c r="D90" s="15">
        <v>372196</v>
      </c>
      <c r="E90" s="24">
        <f t="shared" si="1"/>
        <v>99.977704893372973</v>
      </c>
    </row>
    <row r="91" spans="1:5" ht="25.5" x14ac:dyDescent="0.2">
      <c r="A91" s="10" t="s">
        <v>140</v>
      </c>
      <c r="B91" s="11" t="s">
        <v>139</v>
      </c>
      <c r="C91" s="12">
        <v>94116</v>
      </c>
      <c r="D91" s="12">
        <v>94116</v>
      </c>
      <c r="E91" s="24">
        <f t="shared" si="1"/>
        <v>100</v>
      </c>
    </row>
    <row r="92" spans="1:5" ht="38.25" x14ac:dyDescent="0.2">
      <c r="A92" s="10" t="s">
        <v>140</v>
      </c>
      <c r="B92" s="11" t="s">
        <v>246</v>
      </c>
      <c r="C92" s="12">
        <f>3995-17</f>
        <v>3978</v>
      </c>
      <c r="D92" s="12">
        <v>3978</v>
      </c>
      <c r="E92" s="24">
        <f t="shared" si="1"/>
        <v>100</v>
      </c>
    </row>
    <row r="93" spans="1:5" ht="51" x14ac:dyDescent="0.2">
      <c r="A93" s="10" t="s">
        <v>239</v>
      </c>
      <c r="B93" s="11" t="s">
        <v>240</v>
      </c>
      <c r="C93" s="12">
        <f>20000-3300</f>
        <v>16700</v>
      </c>
      <c r="D93" s="12">
        <v>16653</v>
      </c>
      <c r="E93" s="24">
        <f t="shared" si="1"/>
        <v>99.718562874251489</v>
      </c>
    </row>
    <row r="94" spans="1:5" x14ac:dyDescent="0.2">
      <c r="A94" s="10" t="s">
        <v>143</v>
      </c>
      <c r="B94" s="11" t="s">
        <v>141</v>
      </c>
      <c r="C94" s="12">
        <v>13450</v>
      </c>
      <c r="D94" s="12">
        <v>10685</v>
      </c>
      <c r="E94" s="24">
        <f t="shared" si="1"/>
        <v>79.442379182156131</v>
      </c>
    </row>
    <row r="95" spans="1:5" ht="38.25" x14ac:dyDescent="0.2">
      <c r="A95" s="10" t="s">
        <v>144</v>
      </c>
      <c r="B95" s="11" t="s">
        <v>142</v>
      </c>
      <c r="C95" s="12">
        <v>7545</v>
      </c>
      <c r="D95" s="12">
        <v>7545</v>
      </c>
      <c r="E95" s="24">
        <f t="shared" si="1"/>
        <v>100</v>
      </c>
    </row>
    <row r="96" spans="1:5" ht="63.75" x14ac:dyDescent="0.2">
      <c r="A96" s="10" t="s">
        <v>145</v>
      </c>
      <c r="B96" s="11" t="s">
        <v>243</v>
      </c>
      <c r="C96" s="12">
        <f>711-270</f>
        <v>441</v>
      </c>
      <c r="D96" s="12">
        <v>441</v>
      </c>
      <c r="E96" s="24">
        <f t="shared" si="1"/>
        <v>100</v>
      </c>
    </row>
    <row r="97" spans="1:5" ht="38.25" x14ac:dyDescent="0.2">
      <c r="A97" s="10" t="s">
        <v>255</v>
      </c>
      <c r="B97" s="17" t="s">
        <v>258</v>
      </c>
      <c r="C97" s="12">
        <v>2431</v>
      </c>
      <c r="D97" s="12">
        <v>2431</v>
      </c>
      <c r="E97" s="24">
        <f t="shared" si="1"/>
        <v>100</v>
      </c>
    </row>
    <row r="98" spans="1:5" ht="94.15" customHeight="1" x14ac:dyDescent="0.2">
      <c r="A98" s="10" t="s">
        <v>226</v>
      </c>
      <c r="B98" s="11" t="s">
        <v>227</v>
      </c>
      <c r="C98" s="12">
        <v>167</v>
      </c>
      <c r="D98" s="15">
        <v>145</v>
      </c>
      <c r="E98" s="24">
        <f t="shared" si="1"/>
        <v>86.82634730538922</v>
      </c>
    </row>
    <row r="99" spans="1:5" x14ac:dyDescent="0.2">
      <c r="A99" s="10" t="s">
        <v>149</v>
      </c>
      <c r="B99" s="11" t="s">
        <v>146</v>
      </c>
      <c r="C99" s="12">
        <f>14582+6323-175</f>
        <v>20730</v>
      </c>
      <c r="D99" s="12">
        <v>9756</v>
      </c>
      <c r="E99" s="24">
        <f t="shared" si="1"/>
        <v>47.062228654124453</v>
      </c>
    </row>
    <row r="100" spans="1:5" ht="25.5" x14ac:dyDescent="0.2">
      <c r="A100" s="10" t="s">
        <v>244</v>
      </c>
      <c r="B100" s="11" t="s">
        <v>245</v>
      </c>
      <c r="C100" s="12">
        <f>482-69</f>
        <v>413</v>
      </c>
      <c r="D100" s="12">
        <v>413</v>
      </c>
      <c r="E100" s="24">
        <f t="shared" si="1"/>
        <v>100</v>
      </c>
    </row>
    <row r="101" spans="1:5" ht="38.25" x14ac:dyDescent="0.2">
      <c r="A101" s="10" t="s">
        <v>150</v>
      </c>
      <c r="B101" s="11" t="s">
        <v>147</v>
      </c>
      <c r="C101" s="12">
        <v>76434</v>
      </c>
      <c r="D101" s="12">
        <v>76434</v>
      </c>
      <c r="E101" s="24">
        <f t="shared" si="1"/>
        <v>100</v>
      </c>
    </row>
    <row r="102" spans="1:5" ht="25.5" x14ac:dyDescent="0.2">
      <c r="A102" s="10" t="s">
        <v>151</v>
      </c>
      <c r="B102" s="11" t="s">
        <v>148</v>
      </c>
      <c r="C102" s="12">
        <f>22000-110</f>
        <v>21890</v>
      </c>
      <c r="D102" s="12">
        <v>21890</v>
      </c>
      <c r="E102" s="24">
        <f t="shared" si="1"/>
        <v>100</v>
      </c>
    </row>
    <row r="103" spans="1:5" x14ac:dyDescent="0.2">
      <c r="A103" s="10" t="s">
        <v>228</v>
      </c>
      <c r="B103" s="11" t="s">
        <v>229</v>
      </c>
      <c r="C103" s="12">
        <f>23448-18</f>
        <v>23430</v>
      </c>
      <c r="D103" s="12">
        <v>23313</v>
      </c>
      <c r="E103" s="24">
        <f t="shared" si="1"/>
        <v>99.500640204865547</v>
      </c>
    </row>
    <row r="104" spans="1:5" x14ac:dyDescent="0.2">
      <c r="A104" s="10" t="s">
        <v>230</v>
      </c>
      <c r="B104" s="11" t="s">
        <v>232</v>
      </c>
      <c r="C104" s="12">
        <f>70714-6714+5545</f>
        <v>69545</v>
      </c>
      <c r="D104" s="12">
        <v>69533</v>
      </c>
      <c r="E104" s="24">
        <f t="shared" si="1"/>
        <v>99.982744985261334</v>
      </c>
    </row>
    <row r="105" spans="1:5" s="21" customFormat="1" x14ac:dyDescent="0.2">
      <c r="A105" s="18" t="s">
        <v>231</v>
      </c>
      <c r="B105" s="19" t="s">
        <v>233</v>
      </c>
      <c r="C105" s="20">
        <f>6303+3567-211</f>
        <v>9659</v>
      </c>
      <c r="D105" s="20">
        <v>9659</v>
      </c>
      <c r="E105" s="24">
        <f t="shared" si="1"/>
        <v>100</v>
      </c>
    </row>
    <row r="106" spans="1:5" ht="38.25" x14ac:dyDescent="0.2">
      <c r="A106" s="10" t="s">
        <v>234</v>
      </c>
      <c r="B106" s="11" t="s">
        <v>235</v>
      </c>
      <c r="C106" s="15">
        <f>6470-32</f>
        <v>6438</v>
      </c>
      <c r="D106" s="15">
        <v>6438</v>
      </c>
      <c r="E106" s="24">
        <f t="shared" si="1"/>
        <v>100</v>
      </c>
    </row>
    <row r="107" spans="1:5" x14ac:dyDescent="0.2">
      <c r="A107" s="10" t="s">
        <v>153</v>
      </c>
      <c r="B107" s="11" t="s">
        <v>152</v>
      </c>
      <c r="C107" s="12">
        <v>7298</v>
      </c>
      <c r="D107" s="12">
        <v>7155</v>
      </c>
      <c r="E107" s="24">
        <f t="shared" si="1"/>
        <v>98.040559057275971</v>
      </c>
    </row>
    <row r="108" spans="1:5" ht="38.25" x14ac:dyDescent="0.2">
      <c r="A108" s="10" t="s">
        <v>156</v>
      </c>
      <c r="B108" s="11" t="s">
        <v>101</v>
      </c>
      <c r="C108" s="12">
        <f>4458-418</f>
        <v>4040</v>
      </c>
      <c r="D108" s="12">
        <v>3747</v>
      </c>
      <c r="E108" s="24">
        <f t="shared" si="1"/>
        <v>92.747524752475258</v>
      </c>
    </row>
    <row r="109" spans="1:5" ht="51" x14ac:dyDescent="0.2">
      <c r="A109" s="10" t="s">
        <v>157</v>
      </c>
      <c r="B109" s="11" t="s">
        <v>102</v>
      </c>
      <c r="C109" s="12">
        <f>23967+5640</f>
        <v>29607</v>
      </c>
      <c r="D109" s="12">
        <v>29607</v>
      </c>
      <c r="E109" s="24">
        <f t="shared" si="1"/>
        <v>100</v>
      </c>
    </row>
    <row r="110" spans="1:5" ht="38.25" x14ac:dyDescent="0.2">
      <c r="A110" s="10" t="s">
        <v>158</v>
      </c>
      <c r="B110" s="11" t="s">
        <v>154</v>
      </c>
      <c r="C110" s="12">
        <f>20723-369</f>
        <v>20354</v>
      </c>
      <c r="D110" s="12">
        <v>17571</v>
      </c>
      <c r="E110" s="24">
        <f t="shared" si="1"/>
        <v>86.327011889554882</v>
      </c>
    </row>
    <row r="111" spans="1:5" x14ac:dyDescent="0.2">
      <c r="A111" s="10" t="s">
        <v>159</v>
      </c>
      <c r="B111" s="11" t="s">
        <v>155</v>
      </c>
      <c r="C111" s="12">
        <f>10462+6022-251</f>
        <v>16233</v>
      </c>
      <c r="D111" s="12">
        <v>16233</v>
      </c>
      <c r="E111" s="24">
        <f t="shared" si="1"/>
        <v>100</v>
      </c>
    </row>
    <row r="112" spans="1:5" ht="51" x14ac:dyDescent="0.2">
      <c r="A112" s="10" t="s">
        <v>162</v>
      </c>
      <c r="B112" s="11" t="s">
        <v>160</v>
      </c>
      <c r="C112" s="12">
        <f>53047-13900</f>
        <v>39147</v>
      </c>
      <c r="D112" s="12">
        <v>35038</v>
      </c>
      <c r="E112" s="24">
        <f t="shared" si="1"/>
        <v>89.503665670421739</v>
      </c>
    </row>
    <row r="113" spans="1:5" ht="38.25" x14ac:dyDescent="0.2">
      <c r="A113" s="10" t="s">
        <v>163</v>
      </c>
      <c r="B113" s="11" t="s">
        <v>161</v>
      </c>
      <c r="C113" s="12">
        <v>12211</v>
      </c>
      <c r="D113" s="12">
        <v>11016</v>
      </c>
      <c r="E113" s="24">
        <f t="shared" si="1"/>
        <v>90.2137417082958</v>
      </c>
    </row>
    <row r="114" spans="1:5" x14ac:dyDescent="0.2">
      <c r="A114" s="10" t="s">
        <v>213</v>
      </c>
      <c r="B114" s="11" t="s">
        <v>214</v>
      </c>
      <c r="C114" s="12">
        <f>1697+3807</f>
        <v>5504</v>
      </c>
      <c r="D114" s="12">
        <v>5504</v>
      </c>
      <c r="E114" s="24">
        <f t="shared" si="1"/>
        <v>100</v>
      </c>
    </row>
    <row r="115" spans="1:5" ht="25.5" x14ac:dyDescent="0.2">
      <c r="A115" s="10" t="s">
        <v>241</v>
      </c>
      <c r="B115" s="11" t="s">
        <v>242</v>
      </c>
      <c r="C115" s="12">
        <f>8174+4826</f>
        <v>13000</v>
      </c>
      <c r="D115" s="12">
        <v>12440</v>
      </c>
      <c r="E115" s="24">
        <f t="shared" si="1"/>
        <v>95.692307692307693</v>
      </c>
    </row>
    <row r="116" spans="1:5" ht="25.5" x14ac:dyDescent="0.2">
      <c r="A116" s="10" t="s">
        <v>165</v>
      </c>
      <c r="B116" s="11" t="s">
        <v>164</v>
      </c>
      <c r="C116" s="12">
        <f>32532-29279+9032+12776</f>
        <v>25061</v>
      </c>
      <c r="D116" s="12">
        <v>25061</v>
      </c>
      <c r="E116" s="24">
        <f t="shared" si="1"/>
        <v>100</v>
      </c>
    </row>
    <row r="117" spans="1:5" ht="51" x14ac:dyDescent="0.2">
      <c r="A117" s="10" t="s">
        <v>168</v>
      </c>
      <c r="B117" s="11" t="s">
        <v>166</v>
      </c>
      <c r="C117" s="12">
        <f>48262+68052-87752</f>
        <v>28562</v>
      </c>
      <c r="D117" s="12">
        <v>25454</v>
      </c>
      <c r="E117" s="24">
        <f t="shared" si="1"/>
        <v>89.118409074994759</v>
      </c>
    </row>
    <row r="118" spans="1:5" ht="25.5" x14ac:dyDescent="0.2">
      <c r="A118" s="10" t="s">
        <v>169</v>
      </c>
      <c r="B118" s="11" t="s">
        <v>167</v>
      </c>
      <c r="C118" s="12">
        <f>29902+230</f>
        <v>30132</v>
      </c>
      <c r="D118" s="12">
        <v>30132</v>
      </c>
      <c r="E118" s="24">
        <f t="shared" si="1"/>
        <v>100</v>
      </c>
    </row>
    <row r="119" spans="1:5" s="4" customFormat="1" ht="25.5" x14ac:dyDescent="0.2">
      <c r="A119" s="7" t="s">
        <v>83</v>
      </c>
      <c r="B119" s="9" t="s">
        <v>99</v>
      </c>
      <c r="C119" s="8">
        <f>SUM(C120:C139)</f>
        <v>2555364</v>
      </c>
      <c r="D119" s="8">
        <f>SUM(D120:D139)</f>
        <v>2518836</v>
      </c>
      <c r="E119" s="23">
        <f t="shared" si="1"/>
        <v>98.570536330636259</v>
      </c>
    </row>
    <row r="120" spans="1:5" ht="25.5" x14ac:dyDescent="0.2">
      <c r="A120" s="10" t="s">
        <v>176</v>
      </c>
      <c r="B120" s="11" t="s">
        <v>170</v>
      </c>
      <c r="C120" s="12">
        <v>63833</v>
      </c>
      <c r="D120" s="12">
        <v>57656</v>
      </c>
      <c r="E120" s="24">
        <f t="shared" si="1"/>
        <v>90.323187066250995</v>
      </c>
    </row>
    <row r="121" spans="1:5" ht="25.5" x14ac:dyDescent="0.2">
      <c r="A121" s="10" t="s">
        <v>177</v>
      </c>
      <c r="B121" s="11" t="s">
        <v>171</v>
      </c>
      <c r="C121" s="12">
        <v>5372</v>
      </c>
      <c r="D121" s="12">
        <v>5372</v>
      </c>
      <c r="E121" s="24">
        <f t="shared" si="1"/>
        <v>100</v>
      </c>
    </row>
    <row r="122" spans="1:5" ht="51" x14ac:dyDescent="0.2">
      <c r="A122" s="10" t="s">
        <v>178</v>
      </c>
      <c r="B122" s="11" t="s">
        <v>172</v>
      </c>
      <c r="C122" s="12">
        <f>7632+1088</f>
        <v>8720</v>
      </c>
      <c r="D122" s="12">
        <v>6130</v>
      </c>
      <c r="E122" s="24">
        <f t="shared" si="1"/>
        <v>70.298165137614674</v>
      </c>
    </row>
    <row r="123" spans="1:5" ht="102" x14ac:dyDescent="0.2">
      <c r="A123" s="10" t="s">
        <v>179</v>
      </c>
      <c r="B123" s="11" t="s">
        <v>173</v>
      </c>
      <c r="C123" s="12">
        <v>2867</v>
      </c>
      <c r="D123" s="12">
        <v>2867</v>
      </c>
      <c r="E123" s="24">
        <f t="shared" si="1"/>
        <v>100</v>
      </c>
    </row>
    <row r="124" spans="1:5" ht="25.5" x14ac:dyDescent="0.2">
      <c r="A124" s="10" t="s">
        <v>180</v>
      </c>
      <c r="B124" s="11" t="s">
        <v>174</v>
      </c>
      <c r="C124" s="12">
        <v>14758</v>
      </c>
      <c r="D124" s="12">
        <v>12338</v>
      </c>
      <c r="E124" s="24">
        <f t="shared" si="1"/>
        <v>83.602114107602659</v>
      </c>
    </row>
    <row r="125" spans="1:5" ht="38.25" x14ac:dyDescent="0.2">
      <c r="A125" s="10" t="s">
        <v>181</v>
      </c>
      <c r="B125" s="17" t="s">
        <v>175</v>
      </c>
      <c r="C125" s="12">
        <f>3617+2692</f>
        <v>6309</v>
      </c>
      <c r="D125" s="12">
        <v>6309</v>
      </c>
      <c r="E125" s="24">
        <f t="shared" si="1"/>
        <v>100</v>
      </c>
    </row>
    <row r="126" spans="1:5" ht="51" x14ac:dyDescent="0.2">
      <c r="A126" s="10" t="s">
        <v>210</v>
      </c>
      <c r="B126" s="11" t="s">
        <v>199</v>
      </c>
      <c r="C126" s="12">
        <f>59382-2449</f>
        <v>56933</v>
      </c>
      <c r="D126" s="12">
        <v>44889</v>
      </c>
      <c r="E126" s="24">
        <f t="shared" si="1"/>
        <v>78.845309398766972</v>
      </c>
    </row>
    <row r="127" spans="1:5" ht="51" x14ac:dyDescent="0.2">
      <c r="A127" s="10" t="s">
        <v>188</v>
      </c>
      <c r="B127" s="11" t="s">
        <v>103</v>
      </c>
      <c r="C127" s="12">
        <f>448-277</f>
        <v>171</v>
      </c>
      <c r="D127" s="15">
        <v>120</v>
      </c>
      <c r="E127" s="24">
        <f t="shared" si="1"/>
        <v>70.175438596491219</v>
      </c>
    </row>
    <row r="128" spans="1:5" ht="38.25" x14ac:dyDescent="0.2">
      <c r="A128" s="10" t="s">
        <v>189</v>
      </c>
      <c r="B128" s="11" t="s">
        <v>182</v>
      </c>
      <c r="C128" s="12">
        <v>662</v>
      </c>
      <c r="D128" s="12">
        <v>662</v>
      </c>
      <c r="E128" s="24">
        <f t="shared" si="1"/>
        <v>100</v>
      </c>
    </row>
    <row r="129" spans="1:5" ht="51" x14ac:dyDescent="0.2">
      <c r="A129" s="10" t="s">
        <v>190</v>
      </c>
      <c r="B129" s="11" t="s">
        <v>183</v>
      </c>
      <c r="C129" s="12">
        <f>1220-610-320</f>
        <v>290</v>
      </c>
      <c r="D129" s="12">
        <v>290</v>
      </c>
      <c r="E129" s="24">
        <f t="shared" si="1"/>
        <v>100</v>
      </c>
    </row>
    <row r="130" spans="1:5" ht="51" x14ac:dyDescent="0.2">
      <c r="A130" s="10" t="s">
        <v>191</v>
      </c>
      <c r="B130" s="11" t="s">
        <v>184</v>
      </c>
      <c r="C130" s="12">
        <f>33503+10051+7+6694+1242-4094</f>
        <v>47403</v>
      </c>
      <c r="D130" s="12">
        <v>46570</v>
      </c>
      <c r="E130" s="24">
        <f t="shared" si="1"/>
        <v>98.242727253549361</v>
      </c>
    </row>
    <row r="131" spans="1:5" ht="38.25" x14ac:dyDescent="0.2">
      <c r="A131" s="10" t="s">
        <v>192</v>
      </c>
      <c r="B131" s="11" t="s">
        <v>185</v>
      </c>
      <c r="C131" s="12">
        <f>22-16</f>
        <v>6</v>
      </c>
      <c r="D131" s="12">
        <v>0</v>
      </c>
      <c r="E131" s="24"/>
    </row>
    <row r="132" spans="1:5" ht="153" x14ac:dyDescent="0.2">
      <c r="A132" s="10" t="s">
        <v>193</v>
      </c>
      <c r="B132" s="11" t="s">
        <v>186</v>
      </c>
      <c r="C132" s="12">
        <f>57418+343</f>
        <v>57761</v>
      </c>
      <c r="D132" s="12">
        <v>54263</v>
      </c>
      <c r="E132" s="24">
        <f t="shared" si="1"/>
        <v>93.9440106646353</v>
      </c>
    </row>
    <row r="133" spans="1:5" x14ac:dyDescent="0.2">
      <c r="A133" s="10" t="s">
        <v>194</v>
      </c>
      <c r="B133" s="11" t="s">
        <v>187</v>
      </c>
      <c r="C133" s="12">
        <f>1958+973</f>
        <v>2931</v>
      </c>
      <c r="D133" s="12">
        <v>1026</v>
      </c>
      <c r="E133" s="24">
        <f t="shared" si="1"/>
        <v>35.005117707267139</v>
      </c>
    </row>
    <row r="134" spans="1:5" ht="51" x14ac:dyDescent="0.2">
      <c r="A134" s="10" t="s">
        <v>202</v>
      </c>
      <c r="B134" s="11" t="s">
        <v>195</v>
      </c>
      <c r="C134" s="12">
        <v>5090</v>
      </c>
      <c r="D134" s="12">
        <v>5090</v>
      </c>
      <c r="E134" s="24">
        <f t="shared" ref="E134:E150" si="2">D134/C134*100</f>
        <v>100</v>
      </c>
    </row>
    <row r="135" spans="1:5" ht="140.25" x14ac:dyDescent="0.2">
      <c r="A135" s="10" t="s">
        <v>203</v>
      </c>
      <c r="B135" s="11" t="s">
        <v>196</v>
      </c>
      <c r="C135" s="12">
        <v>2868</v>
      </c>
      <c r="D135" s="12">
        <v>2805</v>
      </c>
      <c r="E135" s="24">
        <f t="shared" si="2"/>
        <v>97.803347280334734</v>
      </c>
    </row>
    <row r="136" spans="1:5" ht="89.25" x14ac:dyDescent="0.2">
      <c r="A136" s="10" t="s">
        <v>204</v>
      </c>
      <c r="B136" s="11" t="s">
        <v>197</v>
      </c>
      <c r="C136" s="12">
        <f>836385-10961-32407+7749</f>
        <v>800766</v>
      </c>
      <c r="D136" s="12">
        <v>796718</v>
      </c>
      <c r="E136" s="24">
        <f t="shared" si="2"/>
        <v>99.494484031539798</v>
      </c>
    </row>
    <row r="137" spans="1:5" ht="76.5" x14ac:dyDescent="0.2">
      <c r="A137" s="10" t="s">
        <v>205</v>
      </c>
      <c r="B137" s="11" t="s">
        <v>198</v>
      </c>
      <c r="C137" s="12">
        <f>46952+8792+39</f>
        <v>55783</v>
      </c>
      <c r="D137" s="12">
        <v>55468</v>
      </c>
      <c r="E137" s="24">
        <f t="shared" si="2"/>
        <v>99.435311833354248</v>
      </c>
    </row>
    <row r="138" spans="1:5" ht="127.5" x14ac:dyDescent="0.2">
      <c r="A138" s="10" t="s">
        <v>206</v>
      </c>
      <c r="B138" s="11" t="s">
        <v>200</v>
      </c>
      <c r="C138" s="12">
        <f>1304147+24391+60195+15263</f>
        <v>1403996</v>
      </c>
      <c r="D138" s="12">
        <v>1401526</v>
      </c>
      <c r="E138" s="24">
        <f t="shared" si="2"/>
        <v>99.824073572859191</v>
      </c>
    </row>
    <row r="139" spans="1:5" ht="114.75" x14ac:dyDescent="0.2">
      <c r="A139" s="10" t="s">
        <v>207</v>
      </c>
      <c r="B139" s="11" t="s">
        <v>201</v>
      </c>
      <c r="C139" s="12">
        <f>15065+3780</f>
        <v>18845</v>
      </c>
      <c r="D139" s="12">
        <v>18737</v>
      </c>
      <c r="E139" s="24">
        <f t="shared" si="2"/>
        <v>99.426903687980897</v>
      </c>
    </row>
    <row r="140" spans="1:5" s="4" customFormat="1" x14ac:dyDescent="0.2">
      <c r="A140" s="7" t="s">
        <v>84</v>
      </c>
      <c r="B140" s="9" t="s">
        <v>85</v>
      </c>
      <c r="C140" s="8">
        <f>C144+C142+C143+C141+C145</f>
        <v>130741</v>
      </c>
      <c r="D140" s="8">
        <f>D144+D142+D143+D141+D145</f>
        <v>130116</v>
      </c>
      <c r="E140" s="23">
        <f t="shared" si="2"/>
        <v>99.521955622184322</v>
      </c>
    </row>
    <row r="141" spans="1:5" ht="38.25" x14ac:dyDescent="0.2">
      <c r="A141" s="10" t="s">
        <v>247</v>
      </c>
      <c r="B141" s="11" t="s">
        <v>248</v>
      </c>
      <c r="C141" s="12">
        <v>133</v>
      </c>
      <c r="D141" s="12">
        <v>133</v>
      </c>
      <c r="E141" s="24">
        <f t="shared" si="2"/>
        <v>100</v>
      </c>
    </row>
    <row r="142" spans="1:5" ht="25.5" x14ac:dyDescent="0.2">
      <c r="A142" s="10" t="s">
        <v>219</v>
      </c>
      <c r="B142" s="11" t="s">
        <v>220</v>
      </c>
      <c r="C142" s="12">
        <v>92392</v>
      </c>
      <c r="D142" s="12">
        <v>92392</v>
      </c>
      <c r="E142" s="24">
        <f t="shared" si="2"/>
        <v>100</v>
      </c>
    </row>
    <row r="143" spans="1:5" ht="38.25" x14ac:dyDescent="0.2">
      <c r="A143" s="10" t="s">
        <v>236</v>
      </c>
      <c r="B143" s="11" t="s">
        <v>237</v>
      </c>
      <c r="C143" s="12">
        <v>300</v>
      </c>
      <c r="D143" s="12">
        <v>300</v>
      </c>
      <c r="E143" s="24">
        <f t="shared" si="2"/>
        <v>100</v>
      </c>
    </row>
    <row r="144" spans="1:5" ht="25.5" x14ac:dyDescent="0.2">
      <c r="A144" s="10" t="s">
        <v>209</v>
      </c>
      <c r="B144" s="11" t="s">
        <v>208</v>
      </c>
      <c r="C144" s="12">
        <v>2000</v>
      </c>
      <c r="D144" s="12">
        <v>1732</v>
      </c>
      <c r="E144" s="24">
        <f t="shared" si="2"/>
        <v>86.6</v>
      </c>
    </row>
    <row r="145" spans="1:5" ht="63.75" x14ac:dyDescent="0.2">
      <c r="A145" s="10" t="s">
        <v>253</v>
      </c>
      <c r="B145" s="11" t="s">
        <v>252</v>
      </c>
      <c r="C145" s="12">
        <f>13369+22547</f>
        <v>35916</v>
      </c>
      <c r="D145" s="12">
        <v>35559</v>
      </c>
      <c r="E145" s="24">
        <f t="shared" si="2"/>
        <v>99.006014032743067</v>
      </c>
    </row>
    <row r="146" spans="1:5" s="4" customFormat="1" hidden="1" x14ac:dyDescent="0.2">
      <c r="A146" s="7" t="s">
        <v>100</v>
      </c>
      <c r="B146" s="9" t="s">
        <v>86</v>
      </c>
      <c r="C146" s="8">
        <f>C147</f>
        <v>0</v>
      </c>
      <c r="D146" s="8">
        <f>D147</f>
        <v>0</v>
      </c>
      <c r="E146" s="23" t="e">
        <f t="shared" si="2"/>
        <v>#DIV/0!</v>
      </c>
    </row>
    <row r="147" spans="1:5" hidden="1" x14ac:dyDescent="0.2">
      <c r="A147" s="10" t="s">
        <v>92</v>
      </c>
      <c r="B147" s="11" t="s">
        <v>87</v>
      </c>
      <c r="C147" s="12"/>
      <c r="D147" s="12"/>
      <c r="E147" s="23" t="e">
        <f t="shared" si="2"/>
        <v>#DIV/0!</v>
      </c>
    </row>
    <row r="148" spans="1:5" ht="38.25" x14ac:dyDescent="0.2">
      <c r="A148" s="7" t="s">
        <v>272</v>
      </c>
      <c r="B148" s="9" t="s">
        <v>274</v>
      </c>
      <c r="C148" s="8"/>
      <c r="D148" s="8">
        <v>4058</v>
      </c>
      <c r="E148" s="23"/>
    </row>
    <row r="149" spans="1:5" ht="25.5" x14ac:dyDescent="0.2">
      <c r="A149" s="7" t="s">
        <v>273</v>
      </c>
      <c r="B149" s="9" t="s">
        <v>275</v>
      </c>
      <c r="C149" s="8"/>
      <c r="D149" s="8">
        <v>-10462</v>
      </c>
      <c r="E149" s="23"/>
    </row>
    <row r="150" spans="1:5" s="4" customFormat="1" x14ac:dyDescent="0.2">
      <c r="A150" s="7"/>
      <c r="B150" s="6" t="s">
        <v>88</v>
      </c>
      <c r="C150" s="8">
        <f>C38+C72+C73</f>
        <v>9626830</v>
      </c>
      <c r="D150" s="8">
        <f>D38+D72+D73</f>
        <v>10077962</v>
      </c>
      <c r="E150" s="23">
        <f t="shared" si="2"/>
        <v>104.68619472869054</v>
      </c>
    </row>
    <row r="151" spans="1:5" x14ac:dyDescent="0.2">
      <c r="A151" s="2"/>
      <c r="B151" s="3"/>
    </row>
    <row r="152" spans="1:5" x14ac:dyDescent="0.2">
      <c r="A152" s="2"/>
      <c r="B152" s="3"/>
    </row>
    <row r="153" spans="1:5" x14ac:dyDescent="0.2">
      <c r="A153" s="2"/>
      <c r="B153" s="3"/>
    </row>
    <row r="154" spans="1:5" x14ac:dyDescent="0.2">
      <c r="A154" s="2"/>
      <c r="B154" s="3"/>
    </row>
    <row r="155" spans="1:5" x14ac:dyDescent="0.2">
      <c r="A155" s="2"/>
      <c r="B155" s="3"/>
    </row>
    <row r="156" spans="1:5" x14ac:dyDescent="0.2">
      <c r="A156" s="2"/>
      <c r="B156" s="3"/>
    </row>
    <row r="157" spans="1:5" x14ac:dyDescent="0.2">
      <c r="A157" s="2"/>
      <c r="B157" s="3"/>
    </row>
    <row r="158" spans="1:5" x14ac:dyDescent="0.2">
      <c r="A158" s="2"/>
      <c r="B158" s="3"/>
    </row>
    <row r="159" spans="1:5" x14ac:dyDescent="0.2">
      <c r="A159" s="2"/>
      <c r="B159" s="3"/>
    </row>
    <row r="160" spans="1:5" x14ac:dyDescent="0.2">
      <c r="A160" s="2"/>
      <c r="B160" s="3"/>
    </row>
  </sheetData>
  <mergeCells count="8">
    <mergeCell ref="A8:E8"/>
    <mergeCell ref="A10:E10"/>
    <mergeCell ref="A9:E9"/>
    <mergeCell ref="B1:C1"/>
    <mergeCell ref="B2:C2"/>
    <mergeCell ref="B3:C3"/>
    <mergeCell ref="B4:C4"/>
    <mergeCell ref="B5:C5"/>
  </mergeCells>
  <pageMargins left="0.43307086614173229" right="0.39370078740157483" top="0.39370078740157483" bottom="0.39370078740157483" header="0.31496062992125984" footer="0.31496062992125984"/>
  <pageSetup paperSize="9" scale="8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2022-04-29T10:12:12Z</dcterms:modified>
</cp:coreProperties>
</file>