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Print_Titles" localSheetId="0">Лист1!$16:$16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8" i="1" l="1"/>
  <c r="C84" i="1"/>
  <c r="C82" i="1"/>
  <c r="C81" i="1"/>
  <c r="C80" i="1"/>
  <c r="C79" i="1"/>
  <c r="C78" i="1"/>
  <c r="C76" i="1"/>
  <c r="C75" i="1"/>
  <c r="C74" i="1"/>
  <c r="C73" i="1"/>
  <c r="C71" i="1"/>
  <c r="C72" i="1"/>
  <c r="C69" i="1"/>
  <c r="C68" i="1"/>
  <c r="C59" i="1"/>
  <c r="C60" i="1"/>
  <c r="C61" i="1"/>
  <c r="C56" i="1"/>
  <c r="C55" i="1"/>
  <c r="C49" i="1"/>
  <c r="C48" i="1"/>
  <c r="C47" i="1"/>
  <c r="C46" i="1"/>
  <c r="C41" i="1" l="1"/>
  <c r="C40" i="1"/>
  <c r="C38" i="1"/>
  <c r="C37" i="1"/>
  <c r="C35" i="1"/>
  <c r="C32" i="1"/>
  <c r="C29" i="1"/>
  <c r="C28" i="1"/>
  <c r="C24" i="1"/>
  <c r="C22" i="1"/>
  <c r="C20" i="1"/>
  <c r="C19" i="1"/>
  <c r="C182" i="1"/>
  <c r="C179" i="1"/>
  <c r="C176" i="1"/>
  <c r="C168" i="1"/>
  <c r="C167" i="1"/>
  <c r="C166" i="1"/>
  <c r="C165" i="1"/>
  <c r="C164" i="1"/>
  <c r="C163" i="1"/>
  <c r="C162" i="1"/>
  <c r="C161" i="1"/>
  <c r="C157" i="1"/>
  <c r="C153" i="1"/>
  <c r="C152" i="1"/>
  <c r="C138" i="1"/>
  <c r="C136" i="1"/>
  <c r="C135" i="1"/>
  <c r="C134" i="1"/>
  <c r="C129" i="1"/>
  <c r="C127" i="1"/>
  <c r="C124" i="1"/>
  <c r="C122" i="1"/>
  <c r="C121" i="1"/>
  <c r="C119" i="1"/>
  <c r="C115" i="1"/>
  <c r="C112" i="1"/>
  <c r="C107" i="1"/>
  <c r="C105" i="1"/>
  <c r="C96" i="1"/>
  <c r="C77" i="1" l="1"/>
  <c r="C181" i="1" l="1"/>
  <c r="C180" i="1"/>
  <c r="C172" i="1"/>
  <c r="C143" i="1"/>
  <c r="C140" i="1"/>
  <c r="C133" i="1"/>
  <c r="C108" i="1"/>
  <c r="C106" i="1"/>
  <c r="C104" i="1"/>
  <c r="C57" i="1"/>
  <c r="C113" i="1" l="1"/>
  <c r="C130" i="1"/>
  <c r="C159" i="1" l="1"/>
  <c r="C150" i="1"/>
  <c r="C142" i="1"/>
  <c r="C141" i="1"/>
  <c r="C139" i="1"/>
  <c r="C50" i="1" l="1"/>
  <c r="C44" i="1"/>
  <c r="C33" i="1"/>
  <c r="C145" i="1" l="1"/>
  <c r="C70" i="1" l="1"/>
  <c r="C52" i="1"/>
  <c r="C45" i="1"/>
  <c r="C100" i="1" l="1"/>
  <c r="C151" i="1"/>
  <c r="C117" i="1"/>
  <c r="C93" i="1" l="1"/>
  <c r="C178" i="1" l="1"/>
  <c r="C146" i="1" l="1"/>
  <c r="C66" i="1"/>
  <c r="C169" i="1"/>
  <c r="C54" i="1"/>
  <c r="C58" i="1"/>
  <c r="C36" i="1"/>
  <c r="C34" i="1" s="1"/>
  <c r="C184" i="1"/>
  <c r="C83" i="1"/>
  <c r="C62" i="1"/>
  <c r="C51" i="1"/>
  <c r="C39" i="1"/>
  <c r="C27" i="1"/>
  <c r="C26" i="1" s="1"/>
  <c r="C21" i="1"/>
  <c r="C18" i="1"/>
  <c r="C42" i="1" l="1"/>
  <c r="C53" i="1"/>
  <c r="C43" i="1" s="1"/>
  <c r="C85" i="1" s="1"/>
  <c r="C87" i="1"/>
  <c r="C86" i="1" s="1"/>
  <c r="C17" i="1" l="1"/>
  <c r="C186" i="1"/>
</calcChain>
</file>

<file path=xl/sharedStrings.xml><?xml version="1.0" encoding="utf-8"?>
<sst xmlns="http://schemas.openxmlformats.org/spreadsheetml/2006/main" count="353" uniqueCount="342">
  <si>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</si>
  <si>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</si>
  <si>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</si>
  <si>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</si>
  <si>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</si>
  <si>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</si>
  <si>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Сумма,      тыс.руб.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</si>
  <si>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</si>
  <si>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</si>
  <si>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</si>
  <si>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</si>
  <si>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</si>
  <si>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</si>
  <si>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</si>
  <si>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</si>
  <si>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</si>
  <si>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</si>
  <si>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</si>
  <si>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</si>
  <si>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</si>
  <si>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</si>
  <si>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</si>
  <si>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</si>
  <si>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</si>
  <si>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</si>
  <si>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</si>
  <si>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</si>
  <si>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</si>
  <si>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</si>
  <si>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</si>
  <si>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</si>
  <si>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</si>
  <si>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</si>
  <si>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</si>
  <si>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</si>
  <si>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</si>
  <si>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</si>
  <si>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</si>
  <si>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</si>
  <si>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</si>
  <si>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</si>
  <si>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</si>
  <si>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</si>
  <si>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</si>
  <si>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</si>
  <si>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</si>
  <si>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</si>
  <si>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</si>
  <si>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</si>
  <si>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</si>
  <si>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</si>
  <si>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</si>
  <si>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</si>
  <si>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</si>
  <si>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</si>
  <si>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</si>
  <si>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</si>
  <si>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</si>
  <si>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</si>
  <si>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</si>
  <si>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</si>
  <si>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</si>
  <si>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</si>
  <si>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</si>
  <si>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</si>
  <si>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</si>
  <si>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</si>
  <si>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</si>
  <si>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</si>
  <si>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</si>
  <si>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</si>
  <si>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</si>
  <si>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</si>
  <si>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</si>
  <si>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</si>
  <si>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</si>
  <si>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</si>
  <si>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</si>
  <si>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</si>
  <si>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</si>
  <si>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</si>
  <si>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</si>
  <si>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</si>
  <si>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</si>
  <si>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</si>
  <si>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</si>
  <si>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</si>
  <si>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</si>
  <si>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</si>
  <si>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</si>
  <si>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</si>
  <si>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</si>
  <si>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</si>
  <si>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</si>
  <si>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</si>
  <si>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</si>
  <si>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</si>
  <si>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</si>
  <si>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Приложение 1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</si>
  <si>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</si>
  <si>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</si>
  <si>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</si>
  <si>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</si>
  <si>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</si>
  <si>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</si>
  <si>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</si>
  <si>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</si>
  <si>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</si>
  <si>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</si>
  <si>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</si>
  <si>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</si>
  <si>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</si>
  <si>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</si>
  <si>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</si>
  <si>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</si>
  <si>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</si>
  <si>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</si>
  <si>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</si>
  <si>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</si>
  <si>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</si>
  <si>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</si>
  <si>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</si>
  <si>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</si>
  <si>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</si>
  <si>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</si>
  <si>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</si>
  <si>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</si>
  <si>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</si>
  <si>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</si>
  <si>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</si>
  <si>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</si>
  <si>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</si>
  <si>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</si>
  <si>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На софинансирование работ по капитальному ремонту и ремонту автомобильных дорог общего пользования местного значения</t>
  </si>
  <si>
    <t>00020220216046024150</t>
  </si>
  <si>
    <t>00020225299040000150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</si>
  <si>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</si>
  <si>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00020225304040000150</t>
  </si>
  <si>
    <t>00020225555040000150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</si>
  <si>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</si>
  <si>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00020229999046157150</t>
  </si>
  <si>
    <t>На мероприятия по организации отдыха детей в каникулярное время</t>
  </si>
  <si>
    <t>00020229999046219150</t>
  </si>
  <si>
    <t>00020229999046227150</t>
  </si>
  <si>
    <t>00020229999046233150</t>
  </si>
  <si>
    <t>00020229999046287150</t>
  </si>
  <si>
    <t>00020229999046408150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</si>
  <si>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</si>
  <si>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</si>
  <si>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00020230022046141150</t>
  </si>
  <si>
    <t>00020230022046142150</t>
  </si>
  <si>
    <t>00020230024046068150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</si>
  <si>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</si>
  <si>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</si>
  <si>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</si>
  <si>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</si>
  <si>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00020230024046223150</t>
  </si>
  <si>
    <t>00020230024046267150</t>
  </si>
  <si>
    <t>00020230024046282150</t>
  </si>
  <si>
    <t>00020235082040000150</t>
  </si>
  <si>
    <t>00020235120040000150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</si>
  <si>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</si>
  <si>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00020249999046276150</t>
  </si>
  <si>
    <t>00020225497040000150</t>
  </si>
  <si>
    <t>На реализацию мероприятий по обеспечению жильем молодых семей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</si>
  <si>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</si>
  <si>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</si>
  <si>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</si>
  <si>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</si>
  <si>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</si>
  <si>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</si>
  <si>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</si>
  <si>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</si>
  <si>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На реализацию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</t>
  </si>
  <si>
    <t>00020225027040000150</t>
  </si>
  <si>
    <t>00020225519040000150</t>
  </si>
  <si>
    <t>00020229999046077150</t>
  </si>
  <si>
    <t>00020229999046373150</t>
  </si>
  <si>
    <t>На благоустройство лесопарковых зон</t>
  </si>
  <si>
    <t>00020229999046377150</t>
  </si>
  <si>
    <t>00020229999046378150</t>
  </si>
  <si>
    <t>00020229999046380150</t>
  </si>
  <si>
    <t>На проведение работ по капитальному ремонту зданий региональных (муниципальных) общеобразовательных организаций</t>
  </si>
  <si>
    <t>На оснащение отремонтированных зданий общеобразовательных организаций средствами обучения и воспитания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</si>
  <si>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</si>
  <si>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</si>
  <si>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00020230024046205150</t>
  </si>
  <si>
    <t>00020239999046201150</t>
  </si>
  <si>
    <t>00020239999046202150</t>
  </si>
  <si>
    <t>00020235303040000150</t>
  </si>
  <si>
    <t>00020249999046111150</t>
  </si>
  <si>
    <t>На реализацию отдельных мероприятий муниципальных программ в сфере образования</t>
  </si>
  <si>
    <t>На государственную поддержку отрасли культуры (в части поддержки лучших работников сельских учреждений культуры)</t>
  </si>
  <si>
    <t>00020245519040000150</t>
  </si>
  <si>
    <t>00020249999046049150</t>
  </si>
  <si>
    <t>00020230024046193150</t>
  </si>
  <si>
    <t>На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</si>
  <si>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00020229999046295150</t>
  </si>
  <si>
    <t>00020229999046259150</t>
  </si>
  <si>
    <t>00020229999046226150</t>
  </si>
  <si>
    <t>На проведение капитального ремонта муниципальных объектов физической культуры и спорта</t>
  </si>
  <si>
    <t>00011601000010000140</t>
  </si>
  <si>
    <t>00011607000000000140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</si>
  <si>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</si>
  <si>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Административные штрафы, установленные Кодексом Российской Федерации об административных правонарушениях</t>
  </si>
  <si>
    <t>00010606000000000110</t>
  </si>
  <si>
    <t>На благоустройство территорий муниципальных образовательных организаций, в зданиях которых выполнен капитальный ремонт</t>
  </si>
  <si>
    <t>00020229999046199150</t>
  </si>
  <si>
    <t>На капитальный ремонт объектов теплоснабжения</t>
  </si>
  <si>
    <t>00020229999046473150</t>
  </si>
  <si>
    <t>На обеспечение условий для функционирования центров образования естественно-научной и технологической направленностей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</si>
  <si>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</si>
  <si>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</si>
  <si>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</si>
  <si>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</si>
  <si>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</si>
  <si>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</si>
  <si>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приобретение автобусов для доставки обучающихся в общеобразовательные организации, расположенные в сельских населенных пунктах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</si>
  <si>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</si>
  <si>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</si>
  <si>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</si>
  <si>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</si>
  <si>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</si>
  <si>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</si>
  <si>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00020225172040000150</t>
  </si>
  <si>
    <t>На реализацию федеральной целевой программы "Увековечение памяти погибших при защите Отечества на 2019-2024 годы"</t>
  </si>
  <si>
    <t>00020229999045555150</t>
  </si>
  <si>
    <t>00020225786040000150</t>
  </si>
  <si>
    <t>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</si>
  <si>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00020229999046237150</t>
  </si>
  <si>
    <t>На устройство спортивных и детских площадок на территории муниципальных общеобразовательных организаций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</si>
  <si>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</si>
  <si>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00020235179040000150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</si>
  <si>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</si>
  <si>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</si>
  <si>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финансирование организаций дополнительного образования сферы культуры, направленное на социальную поддержку одаренных детей</t>
  </si>
  <si>
    <t>00011301530040000130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</si>
  <si>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</si>
  <si>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</si>
  <si>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</si>
  <si>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00020249999046037150</t>
  </si>
  <si>
    <t>Наро-Фоминского городского округа на 2024 год</t>
  </si>
  <si>
    <t>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(Обновление материально-технической базы в организациях, осуществляющих образовательную деятельность, исключительно по адаптированным основным общеобразовательным программам)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</si>
  <si>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</si>
  <si>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детских скверов)</t>
  </si>
  <si>
    <t>00020229999040960150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</si>
  <si>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</si>
  <si>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00020229999046365150</t>
  </si>
  <si>
    <t>На создание сезонных ледяных катков</t>
  </si>
  <si>
    <t>00020229999046396150</t>
  </si>
  <si>
    <t>На создание доступной среды в муниципальных учреждениях культуры</t>
  </si>
  <si>
    <t>00020229999046399150</t>
  </si>
  <si>
    <t>На оснащение отремонтированных зданий муниципальных дошкольных образовательных организаций и дошкольных отделений муниципальных общеобразовательных организаций</t>
  </si>
  <si>
    <t>00020229999046409150</t>
  </si>
  <si>
    <t>На строительство и реконструкцию объектов водоснабжения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</si>
  <si>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</si>
  <si>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</si>
  <si>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00020229999046169150</t>
  </si>
  <si>
    <t>На обновление и техническое обслуживание (ремонт) средств (программного обеспечения и оборудования), приобретенных в рамках субсидий на реализацию мероприятий федерального проекта "Цифровая образовательная среда"</t>
  </si>
  <si>
    <t>00020229999046263150</t>
  </si>
  <si>
    <t>На устройство систем наружного освещения в рамках реализации проекта "Светлый город"</t>
  </si>
  <si>
    <t>00020229999046274150</t>
  </si>
  <si>
    <t>На ремонт дворовых территорий</t>
  </si>
  <si>
    <t>00020229999046289150</t>
  </si>
  <si>
    <t>На ямочный ремонт асфальтового покрытия дворовых территорий</t>
  </si>
  <si>
    <t>00020229999046032150</t>
  </si>
  <si>
    <t>На капитальный ремонт сетей водоснабжения, водоотведения, теплоснабжения</t>
  </si>
  <si>
    <t>На строительство и реконструкцию сетей водоснабжения, водоотведения, теплоснабжения муниципальной собственности</t>
  </si>
  <si>
    <t>На строительство и реконструкцию объектов теплоснабжения муниципальной собственности</t>
  </si>
  <si>
    <t>00020239999046209150</t>
  </si>
  <si>
    <t>00020239999046308150</t>
  </si>
  <si>
    <t>00020239999046318150</t>
  </si>
  <si>
    <t>00020239999046319150</t>
  </si>
  <si>
    <t>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</si>
  <si>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На предоставление жилищного сертификата и единовременной социальной выплаты</t>
  </si>
  <si>
    <t>На выплату пособия педагогическим работникам муниципальных дошкольных и общеобразовательных организаций - молодым специалистам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</si>
  <si>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</si>
  <si>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r>
      <t xml:space="preserve">от </t>
    </r>
    <r>
      <rPr>
        <u/>
        <sz val="10"/>
        <color theme="1"/>
        <rFont val="Times New Roman"/>
        <family val="1"/>
        <charset val="204"/>
      </rPr>
      <t>12.12.2023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3/26</t>
    </r>
  </si>
  <si>
    <t>00020230029040000150</t>
  </si>
  <si>
    <t>00020229999045047150</t>
  </si>
  <si>
    <t>На оснащение образовательных организаций, реализующих основные общеобразовательные программы, за исключением образовательных программ дошкольного образования, образовательные программы среднего профессионального образования и дополнительные образовательные программы, оборудованием для реализации образовательных процессов по разработке, производству и эксплуатации беспилотных авиационных систем</t>
  </si>
  <si>
    <t>00020229999046436150</t>
  </si>
  <si>
    <t>На софинансирование работ по строительству (реконструкции) объектов дорожного хозяйства местного значения</t>
  </si>
  <si>
    <t>00020249999046252150</t>
  </si>
  <si>
    <t>На финансовое обеспечение стимулирующих выплат работникам организаций дополнительного образования сферы культуры Московской области с высоким уровнем достижений работы педагогического коллектива по дополнительному образованию в сфере культуры</t>
  </si>
  <si>
    <t>На реализацию первоочередных мероприятий по капитальному ремонту, приобретению, монтажу и вводу в эксплуатацию объектов теплоснабжения муниципальной собственности (в том числе технологическое присоединение)</t>
  </si>
  <si>
    <t>00020249999046253150</t>
  </si>
  <si>
    <t>00020249999046478150</t>
  </si>
  <si>
    <t>00020249999046479150</t>
  </si>
  <si>
    <t>На реализацию первоочередных мероприятий по строительству и реконструкции сетей теплоснабжения муниципальной собственности</t>
  </si>
  <si>
    <t>На реализацию первоочередных мероприятий по строительству и реконструкции объектов теплоснабжения муниципальной собственности (в том числе технологическое присоединение)</t>
  </si>
  <si>
    <t>00020229999046149150</t>
  </si>
  <si>
    <t>На проведение ремонта объектов муниципальных культурно-досуговых учреждений</t>
  </si>
  <si>
    <t>00020249999046297150</t>
  </si>
  <si>
    <t>На 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</si>
  <si>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00011105034040000120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</si>
  <si>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</si>
  <si>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00011406324040000430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</si>
  <si>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городских округов</t>
  </si>
  <si>
    <t>00020229999046414150</t>
  </si>
  <si>
    <t>На строительство и реконструкцию (модернизацию, техническое перевооружение) объектов теплоснабжения муниципальной собственности</t>
  </si>
  <si>
    <t>00020229999046416150</t>
  </si>
  <si>
    <t xml:space="preserve">На строительство и реконструкцию сетей теплоснабжения муниципальной собственности </t>
  </si>
  <si>
    <t>00020229999046434150</t>
  </si>
  <si>
    <t>На реализацию мероприятий по строительству и реконструкции объектов теплоснабжения</t>
  </si>
  <si>
    <t>00020239999046082150</t>
  </si>
  <si>
    <t>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</si>
  <si>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00020249999046257150</t>
  </si>
  <si>
    <t>На финансовое обеспечение стимулирующих выплат работникам культурно-досуговых учреждений в Московской области с высоким уровнем достижений работы в сфере культуры</t>
  </si>
  <si>
    <t>00020249999046298150</t>
  </si>
  <si>
    <t>На 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</si>
  <si>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00011610000000000140</t>
  </si>
  <si>
    <t>Платежи в целях возмещения причиненного ущерба (убытков)</t>
  </si>
  <si>
    <t>00020229999046034150</t>
  </si>
  <si>
    <t>00020229999046054150</t>
  </si>
  <si>
    <t>На капитальный ремонт объектов теплоснабжения на территории муниципальных образований Московской области</t>
  </si>
  <si>
    <t>На капитальный ремонт сетей теплоснабжения на территории муниципальных образований Московской области</t>
  </si>
  <si>
    <t>00020229999046139150</t>
  </si>
  <si>
    <t>На реализацию мероприятий по капитальному ремонту сетей теплоснабжения на территории муниципальных образований</t>
  </si>
  <si>
    <t>00020229999046305150</t>
  </si>
  <si>
    <t>На реализацию проектов граждан, сформированных в рамках практик инициативного бюджетирования</t>
  </si>
  <si>
    <t>00020229999046249150</t>
  </si>
  <si>
    <t>На устройство и модернизацию контейнерных площадок</t>
  </si>
  <si>
    <t>На поощрение органов местного самоуправления городских округов Московской области за достижение наилучших значений показателей по отдельным направлениям развития городских округов Московской области</t>
  </si>
  <si>
    <t>00020229999046316150</t>
  </si>
  <si>
    <t>00020219999040002150</t>
  </si>
  <si>
    <t>00020229999046003150</t>
  </si>
  <si>
    <t>На реализацию мероприятий по капитальному ремонту объектов теплоснабжения (в том числе технологическое присоединение при переводе котельных с 3 на 2 категорию надежности электроснабжения)</t>
  </si>
  <si>
    <t>00020245050040000150</t>
  </si>
  <si>
    <t>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</si>
  <si>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На сохранение достигнутого уровня заработной платы отдельных категорий работников муниципальных организаций (учреждений) социальной сферы</t>
  </si>
  <si>
    <t>00011611000010000140</t>
  </si>
  <si>
    <t>Платежи, уплачиваемые в целях возмещения вреда</t>
  </si>
  <si>
    <t>00020219999040001150</t>
  </si>
  <si>
    <t>На достижение показателей деятельности органов исполнительной власти субъектов Российской Федерации (поощрение муниципальных управленческих команд)</t>
  </si>
  <si>
    <t>00020229999046065150</t>
  </si>
  <si>
    <t>На софинансирование расходов на организацию деятельности многофункциональных центров предоставления государственных и муниципальных услуг</t>
  </si>
  <si>
    <t>00020219999040003150</t>
  </si>
  <si>
    <t>Премия Губернатора Московской области "Прорыв года"</t>
  </si>
  <si>
    <t>«Приложение 1</t>
  </si>
  <si>
    <t>».</t>
  </si>
  <si>
    <t>от 26.12.2024 № 3/45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</si>
</sst>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indent="32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Alignment="1">
      <alignment horizontal="right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6"/>
  <sheetViews>
    <sheetView tabSelected="1" workbookViewId="0">
      <selection activeCell="A13" sqref="A13:C186"/>
    </sheetView>
  </sheetViews>
  <sheetFormatPr defaultColWidth="8.85546875" defaultRowHeight="12.75" x14ac:dyDescent="0.2"/>
  <cols>
    <col min="1" max="1" width="20.28515625" style="4" customWidth="1"/>
    <col min="2" max="2" width="57.85546875" style="4" customWidth="1"/>
    <col min="3" max="3" width="14.28515625" style="4" customWidth="1"/>
    <col min="4" max="9" width="0" style="4" hidden="1" customWidth="1"/>
    <col min="10" max="16384" width="8.85546875" style="4"/>
  </cols>
  <sheetData>
    <row r="1" spans="1:3" x14ac:dyDescent="0.2">
      <c r="B1" s="18" t="s">
        <v>98</v>
      </c>
      <c r="C1" s="18"/>
    </row>
    <row r="2" spans="1:3" x14ac:dyDescent="0.2">
      <c r="B2" s="18" t="s">
        <v>99</v>
      </c>
      <c r="C2" s="18"/>
    </row>
    <row r="3" spans="1:3" x14ac:dyDescent="0.2">
      <c r="B3" s="18" t="s">
        <v>100</v>
      </c>
      <c r="C3" s="18"/>
    </row>
    <row r="4" spans="1:3" x14ac:dyDescent="0.2">
      <c r="B4" s="18" t="s">
        <v>101</v>
      </c>
      <c r="C4" s="18"/>
    </row>
    <row r="5" spans="1:3" x14ac:dyDescent="0.2">
      <c r="B5" s="18" t="s">
        <v>341</v>
      </c>
      <c r="C5" s="18"/>
    </row>
    <row r="6" spans="1:3" x14ac:dyDescent="0.2">
      <c r="B6" s="7"/>
      <c r="C6" s="7"/>
    </row>
    <row r="7" spans="1:3" x14ac:dyDescent="0.2">
      <c r="B7" s="18" t="s">
        <v>339</v>
      </c>
      <c r="C7" s="18"/>
    </row>
    <row r="8" spans="1:3" x14ac:dyDescent="0.2">
      <c r="B8" s="18" t="s">
        <v>99</v>
      </c>
      <c r="C8" s="18"/>
    </row>
    <row r="9" spans="1:3" x14ac:dyDescent="0.2">
      <c r="B9" s="18" t="s">
        <v>100</v>
      </c>
      <c r="C9" s="18"/>
    </row>
    <row r="10" spans="1:3" x14ac:dyDescent="0.2">
      <c r="B10" s="18" t="s">
        <v>101</v>
      </c>
      <c r="C10" s="18"/>
    </row>
    <row r="11" spans="1:3" x14ac:dyDescent="0.2">
      <c r="B11" s="18" t="s">
        <v>277</v>
      </c>
      <c r="C11" s="18"/>
    </row>
    <row r="12" spans="1:3" x14ac:dyDescent="0.2">
      <c r="B12" s="7"/>
      <c r="C12" s="7"/>
    </row>
    <row r="13" spans="1:3" x14ac:dyDescent="0.2">
      <c r="A13" s="17" t="s">
        <v>102</v>
      </c>
      <c r="B13" s="17"/>
      <c r="C13" s="17"/>
    </row>
    <row r="14" spans="1:3" x14ac:dyDescent="0.2">
      <c r="A14" s="17" t="s">
        <v>241</v>
      </c>
      <c r="B14" s="17"/>
      <c r="C14" s="17"/>
    </row>
    <row r="16" spans="1:3" ht="25.5" x14ac:dyDescent="0.2">
      <c r="A16" s="8" t="s">
        <v>0</v>
      </c>
      <c r="B16" s="8" t="s">
        <v>2</v>
      </c>
      <c r="C16" s="8" t="s">
        <v>6</v>
      </c>
    </row>
    <row r="17" spans="1:3" s="3" customFormat="1" x14ac:dyDescent="0.2">
      <c r="A17" s="9" t="s">
        <v>1</v>
      </c>
      <c r="B17" s="8" t="s">
        <v>104</v>
      </c>
      <c r="C17" s="10">
        <f>C42+C85</f>
        <v>6502102</v>
      </c>
    </row>
    <row r="18" spans="1:3" s="3" customFormat="1" x14ac:dyDescent="0.2">
      <c r="A18" s="9" t="s">
        <v>3</v>
      </c>
      <c r="B18" s="11" t="s">
        <v>105</v>
      </c>
      <c r="C18" s="10">
        <f>C19+C20</f>
        <v>3684162</v>
      </c>
    </row>
    <row r="19" spans="1:3" ht="25.5" x14ac:dyDescent="0.2">
      <c r="A19" s="1" t="s">
        <v>4</v>
      </c>
      <c r="B19" s="2" t="s">
        <v>54</v>
      </c>
      <c r="C19" s="6">
        <f>1139372+115940-29477</f>
        <v>1225835</v>
      </c>
    </row>
    <row r="20" spans="1:3" x14ac:dyDescent="0.2">
      <c r="A20" s="1" t="s">
        <v>4</v>
      </c>
      <c r="B20" s="2" t="s">
        <v>5</v>
      </c>
      <c r="C20" s="6">
        <f>2149118+169499+197633-57923</f>
        <v>2458327</v>
      </c>
    </row>
    <row r="21" spans="1:3" s="3" customFormat="1" ht="25.5" x14ac:dyDescent="0.2">
      <c r="A21" s="9" t="s">
        <v>7</v>
      </c>
      <c r="B21" s="11" t="s">
        <v>106</v>
      </c>
      <c r="C21" s="10">
        <f>SUM(C22:C25)</f>
        <v>100081</v>
      </c>
    </row>
    <row r="22" spans="1:3" ht="51" x14ac:dyDescent="0.2">
      <c r="A22" s="1" t="s">
        <v>9</v>
      </c>
      <c r="B22" s="2" t="s">
        <v>8</v>
      </c>
      <c r="C22" s="6">
        <f>47793+2337</f>
        <v>50130</v>
      </c>
    </row>
    <row r="23" spans="1:3" ht="63.75" x14ac:dyDescent="0.2">
      <c r="A23" s="1" t="s">
        <v>14</v>
      </c>
      <c r="B23" s="2" t="s">
        <v>10</v>
      </c>
      <c r="C23" s="6">
        <v>270</v>
      </c>
    </row>
    <row r="24" spans="1:3" ht="51" x14ac:dyDescent="0.2">
      <c r="A24" s="1" t="s">
        <v>15</v>
      </c>
      <c r="B24" s="2" t="s">
        <v>11</v>
      </c>
      <c r="C24" s="6">
        <f>52978+2000</f>
        <v>54978</v>
      </c>
    </row>
    <row r="25" spans="1:3" ht="51" x14ac:dyDescent="0.2">
      <c r="A25" s="1" t="s">
        <v>16</v>
      </c>
      <c r="B25" s="2" t="s">
        <v>12</v>
      </c>
      <c r="C25" s="6">
        <v>-5297</v>
      </c>
    </row>
    <row r="26" spans="1:3" s="3" customFormat="1" x14ac:dyDescent="0.2">
      <c r="A26" s="9" t="s">
        <v>23</v>
      </c>
      <c r="B26" s="11" t="s">
        <v>13</v>
      </c>
      <c r="C26" s="10">
        <f>C27+C30+C31+C32+C33</f>
        <v>906213</v>
      </c>
    </row>
    <row r="27" spans="1:3" ht="38.25" x14ac:dyDescent="0.2">
      <c r="A27" s="1" t="s">
        <v>24</v>
      </c>
      <c r="B27" s="2" t="s">
        <v>17</v>
      </c>
      <c r="C27" s="6">
        <f>C28+C29</f>
        <v>808094</v>
      </c>
    </row>
    <row r="28" spans="1:3" ht="25.5" x14ac:dyDescent="0.2">
      <c r="A28" s="1" t="s">
        <v>25</v>
      </c>
      <c r="B28" s="2" t="s">
        <v>18</v>
      </c>
      <c r="C28" s="6">
        <f>660418-21633</f>
        <v>638785</v>
      </c>
    </row>
    <row r="29" spans="1:3" ht="55.9" customHeight="1" x14ac:dyDescent="0.2">
      <c r="A29" s="1" t="s">
        <v>26</v>
      </c>
      <c r="B29" s="2" t="s">
        <v>107</v>
      </c>
      <c r="C29" s="6">
        <f>179809-10500</f>
        <v>169309</v>
      </c>
    </row>
    <row r="30" spans="1:3" ht="13.15" customHeight="1" x14ac:dyDescent="0.2">
      <c r="A30" s="1" t="s">
        <v>27</v>
      </c>
      <c r="B30" s="2" t="s">
        <v>19</v>
      </c>
      <c r="C30" s="6">
        <v>327</v>
      </c>
    </row>
    <row r="31" spans="1:3" hidden="1" x14ac:dyDescent="0.2">
      <c r="A31" s="1" t="s">
        <v>28</v>
      </c>
      <c r="B31" s="2" t="s">
        <v>20</v>
      </c>
      <c r="C31" s="6"/>
    </row>
    <row r="32" spans="1:3" ht="25.5" x14ac:dyDescent="0.2">
      <c r="A32" s="1" t="s">
        <v>29</v>
      </c>
      <c r="B32" s="2" t="s">
        <v>21</v>
      </c>
      <c r="C32" s="6">
        <f>107852+5608-18247</f>
        <v>95213</v>
      </c>
    </row>
    <row r="33" spans="1:3" ht="38.25" x14ac:dyDescent="0.2">
      <c r="A33" s="1" t="s">
        <v>213</v>
      </c>
      <c r="B33" s="2" t="s">
        <v>214</v>
      </c>
      <c r="C33" s="6">
        <f>3248-669</f>
        <v>2579</v>
      </c>
    </row>
    <row r="34" spans="1:3" s="3" customFormat="1" x14ac:dyDescent="0.2">
      <c r="A34" s="9" t="s">
        <v>114</v>
      </c>
      <c r="B34" s="11" t="s">
        <v>22</v>
      </c>
      <c r="C34" s="10">
        <f>SUM(C35:C36)</f>
        <v>1076463</v>
      </c>
    </row>
    <row r="35" spans="1:3" ht="38.25" x14ac:dyDescent="0.2">
      <c r="A35" s="1" t="s">
        <v>33</v>
      </c>
      <c r="B35" s="2" t="s">
        <v>30</v>
      </c>
      <c r="C35" s="6">
        <f>300738+6199+5509</f>
        <v>312446</v>
      </c>
    </row>
    <row r="36" spans="1:3" x14ac:dyDescent="0.2">
      <c r="A36" s="9" t="s">
        <v>205</v>
      </c>
      <c r="B36" s="11" t="s">
        <v>123</v>
      </c>
      <c r="C36" s="10">
        <f>C37+C38</f>
        <v>764017</v>
      </c>
    </row>
    <row r="37" spans="1:3" ht="25.5" x14ac:dyDescent="0.2">
      <c r="A37" s="1" t="s">
        <v>34</v>
      </c>
      <c r="B37" s="2" t="s">
        <v>31</v>
      </c>
      <c r="C37" s="6">
        <f>350743-720+38461+32151</f>
        <v>420635</v>
      </c>
    </row>
    <row r="38" spans="1:3" ht="25.5" x14ac:dyDescent="0.2">
      <c r="A38" s="1" t="s">
        <v>35</v>
      </c>
      <c r="B38" s="2" t="s">
        <v>32</v>
      </c>
      <c r="C38" s="6">
        <f>295759+18488+29135</f>
        <v>343382</v>
      </c>
    </row>
    <row r="39" spans="1:3" s="3" customFormat="1" x14ac:dyDescent="0.2">
      <c r="A39" s="9" t="s">
        <v>39</v>
      </c>
      <c r="B39" s="11" t="s">
        <v>36</v>
      </c>
      <c r="C39" s="10">
        <f>SUM(C40:C41)</f>
        <v>48960</v>
      </c>
    </row>
    <row r="40" spans="1:3" ht="38.25" x14ac:dyDescent="0.2">
      <c r="A40" s="1" t="s">
        <v>40</v>
      </c>
      <c r="B40" s="2" t="s">
        <v>115</v>
      </c>
      <c r="C40" s="6">
        <f>29071+4729+14934</f>
        <v>48734</v>
      </c>
    </row>
    <row r="41" spans="1:3" ht="25.5" x14ac:dyDescent="0.2">
      <c r="A41" s="1" t="s">
        <v>41</v>
      </c>
      <c r="B41" s="2" t="s">
        <v>37</v>
      </c>
      <c r="C41" s="6">
        <f>200-100+126</f>
        <v>226</v>
      </c>
    </row>
    <row r="42" spans="1:3" s="3" customFormat="1" x14ac:dyDescent="0.2">
      <c r="A42" s="9"/>
      <c r="B42" s="11" t="s">
        <v>38</v>
      </c>
      <c r="C42" s="10">
        <f>C18+C21+C26+C34+C39</f>
        <v>5815879</v>
      </c>
    </row>
    <row r="43" spans="1:3" s="3" customFormat="1" ht="25.5" x14ac:dyDescent="0.2">
      <c r="A43" s="9" t="s">
        <v>47</v>
      </c>
      <c r="B43" s="11" t="s">
        <v>42</v>
      </c>
      <c r="C43" s="10">
        <f>C44+C45+C51+C53</f>
        <v>293114</v>
      </c>
    </row>
    <row r="44" spans="1:3" s="3" customFormat="1" ht="42.6" customHeight="1" x14ac:dyDescent="0.2">
      <c r="A44" s="9" t="s">
        <v>48</v>
      </c>
      <c r="B44" s="11" t="s">
        <v>43</v>
      </c>
      <c r="C44" s="10">
        <f>1000+3902</f>
        <v>4902</v>
      </c>
    </row>
    <row r="45" spans="1:3" s="3" customFormat="1" ht="63.75" x14ac:dyDescent="0.2">
      <c r="A45" s="9" t="s">
        <v>49</v>
      </c>
      <c r="B45" s="11" t="s">
        <v>44</v>
      </c>
      <c r="C45" s="10">
        <f>C46+C49+C47+C50+C48</f>
        <v>232569</v>
      </c>
    </row>
    <row r="46" spans="1:3" ht="63.75" x14ac:dyDescent="0.2">
      <c r="A46" s="1" t="s">
        <v>50</v>
      </c>
      <c r="B46" s="2" t="s">
        <v>45</v>
      </c>
      <c r="C46" s="6">
        <f>194270-14101</f>
        <v>180169</v>
      </c>
    </row>
    <row r="47" spans="1:3" ht="63.75" x14ac:dyDescent="0.2">
      <c r="A47" s="1" t="s">
        <v>116</v>
      </c>
      <c r="B47" s="2" t="s">
        <v>170</v>
      </c>
      <c r="C47" s="6">
        <f>48086-11797</f>
        <v>36289</v>
      </c>
    </row>
    <row r="48" spans="1:3" ht="51" x14ac:dyDescent="0.2">
      <c r="A48" s="1" t="s">
        <v>295</v>
      </c>
      <c r="B48" s="2" t="s">
        <v>296</v>
      </c>
      <c r="C48" s="6">
        <f>45+47</f>
        <v>92</v>
      </c>
    </row>
    <row r="49" spans="1:3" ht="25.5" x14ac:dyDescent="0.2">
      <c r="A49" s="1" t="s">
        <v>51</v>
      </c>
      <c r="B49" s="2" t="s">
        <v>46</v>
      </c>
      <c r="C49" s="6">
        <f>15575+747-622</f>
        <v>15700</v>
      </c>
    </row>
    <row r="50" spans="1:3" ht="89.25" x14ac:dyDescent="0.2">
      <c r="A50" s="1" t="s">
        <v>117</v>
      </c>
      <c r="B50" s="2" t="s">
        <v>118</v>
      </c>
      <c r="C50" s="6">
        <f>200+119</f>
        <v>319</v>
      </c>
    </row>
    <row r="51" spans="1:3" s="3" customFormat="1" ht="25.5" x14ac:dyDescent="0.2">
      <c r="A51" s="9" t="s">
        <v>55</v>
      </c>
      <c r="B51" s="11" t="s">
        <v>52</v>
      </c>
      <c r="C51" s="10">
        <f>C52</f>
        <v>214</v>
      </c>
    </row>
    <row r="52" spans="1:3" ht="38.25" x14ac:dyDescent="0.2">
      <c r="A52" s="1" t="s">
        <v>56</v>
      </c>
      <c r="B52" s="2" t="s">
        <v>53</v>
      </c>
      <c r="C52" s="6">
        <f>1500-1286</f>
        <v>214</v>
      </c>
    </row>
    <row r="53" spans="1:3" s="3" customFormat="1" ht="69" customHeight="1" x14ac:dyDescent="0.2">
      <c r="A53" s="9" t="s">
        <v>57</v>
      </c>
      <c r="B53" s="11" t="s">
        <v>58</v>
      </c>
      <c r="C53" s="10">
        <f>C54+C58</f>
        <v>55429</v>
      </c>
    </row>
    <row r="54" spans="1:3" ht="63.75" x14ac:dyDescent="0.2">
      <c r="A54" s="1" t="s">
        <v>59</v>
      </c>
      <c r="B54" s="2" t="s">
        <v>60</v>
      </c>
      <c r="C54" s="6">
        <f>C55+C56+C57</f>
        <v>44147</v>
      </c>
    </row>
    <row r="55" spans="1:3" s="5" customFormat="1" x14ac:dyDescent="0.2">
      <c r="A55" s="12" t="s">
        <v>59</v>
      </c>
      <c r="B55" s="13" t="s">
        <v>113</v>
      </c>
      <c r="C55" s="6">
        <f>30000+5000+2056+3444</f>
        <v>40500</v>
      </c>
    </row>
    <row r="56" spans="1:3" s="5" customFormat="1" x14ac:dyDescent="0.2">
      <c r="A56" s="12" t="s">
        <v>59</v>
      </c>
      <c r="B56" s="13" t="s">
        <v>124</v>
      </c>
      <c r="C56" s="6">
        <f>3000+250</f>
        <v>3250</v>
      </c>
    </row>
    <row r="57" spans="1:3" s="5" customFormat="1" x14ac:dyDescent="0.2">
      <c r="A57" s="12" t="s">
        <v>59</v>
      </c>
      <c r="B57" s="13" t="s">
        <v>165</v>
      </c>
      <c r="C57" s="6">
        <f>85+26+286</f>
        <v>397</v>
      </c>
    </row>
    <row r="58" spans="1:3" s="5" customFormat="1" ht="76.5" x14ac:dyDescent="0.2">
      <c r="A58" s="1" t="s">
        <v>130</v>
      </c>
      <c r="B58" s="2" t="s">
        <v>131</v>
      </c>
      <c r="C58" s="6">
        <f>C59+C60</f>
        <v>11282</v>
      </c>
    </row>
    <row r="59" spans="1:3" s="5" customFormat="1" ht="25.5" x14ac:dyDescent="0.2">
      <c r="A59" s="12" t="s">
        <v>130</v>
      </c>
      <c r="B59" s="13" t="s">
        <v>132</v>
      </c>
      <c r="C59" s="6">
        <f>4500+45-517+64</f>
        <v>4092</v>
      </c>
    </row>
    <row r="60" spans="1:3" s="5" customFormat="1" x14ac:dyDescent="0.2">
      <c r="A60" s="12" t="s">
        <v>130</v>
      </c>
      <c r="B60" s="13" t="s">
        <v>61</v>
      </c>
      <c r="C60" s="6">
        <f>7600-1600+527+663</f>
        <v>7190</v>
      </c>
    </row>
    <row r="61" spans="1:3" s="3" customFormat="1" x14ac:dyDescent="0.2">
      <c r="A61" s="9" t="s">
        <v>63</v>
      </c>
      <c r="B61" s="11" t="s">
        <v>62</v>
      </c>
      <c r="C61" s="10">
        <f>C62</f>
        <v>2989</v>
      </c>
    </row>
    <row r="62" spans="1:3" x14ac:dyDescent="0.2">
      <c r="A62" s="1" t="s">
        <v>65</v>
      </c>
      <c r="B62" s="2" t="s">
        <v>64</v>
      </c>
      <c r="C62" s="10">
        <f>SUM(C63:C65)</f>
        <v>2989</v>
      </c>
    </row>
    <row r="63" spans="1:3" ht="25.5" x14ac:dyDescent="0.2">
      <c r="A63" s="1" t="s">
        <v>67</v>
      </c>
      <c r="B63" s="2" t="s">
        <v>66</v>
      </c>
      <c r="C63" s="6">
        <v>797</v>
      </c>
    </row>
    <row r="64" spans="1:3" x14ac:dyDescent="0.2">
      <c r="A64" s="1" t="s">
        <v>68</v>
      </c>
      <c r="B64" s="2" t="s">
        <v>69</v>
      </c>
      <c r="C64" s="6">
        <v>853</v>
      </c>
    </row>
    <row r="65" spans="1:3" x14ac:dyDescent="0.2">
      <c r="A65" s="1" t="s">
        <v>70</v>
      </c>
      <c r="B65" s="2" t="s">
        <v>71</v>
      </c>
      <c r="C65" s="6">
        <v>1339</v>
      </c>
    </row>
    <row r="66" spans="1:3" ht="25.5" x14ac:dyDescent="0.2">
      <c r="A66" s="9" t="s">
        <v>119</v>
      </c>
      <c r="B66" s="11" t="s">
        <v>121</v>
      </c>
      <c r="C66" s="10">
        <f>C69+C68+C67</f>
        <v>20512</v>
      </c>
    </row>
    <row r="67" spans="1:3" ht="38.25" hidden="1" x14ac:dyDescent="0.2">
      <c r="A67" s="1" t="s">
        <v>236</v>
      </c>
      <c r="B67" s="2" t="s">
        <v>237</v>
      </c>
      <c r="C67" s="6"/>
    </row>
    <row r="68" spans="1:3" ht="25.5" x14ac:dyDescent="0.2">
      <c r="A68" s="1" t="s">
        <v>126</v>
      </c>
      <c r="B68" s="2" t="s">
        <v>127</v>
      </c>
      <c r="C68" s="6">
        <f>4500+4283+3504+939</f>
        <v>13226</v>
      </c>
    </row>
    <row r="69" spans="1:3" x14ac:dyDescent="0.2">
      <c r="A69" s="1" t="s">
        <v>120</v>
      </c>
      <c r="B69" s="2" t="s">
        <v>122</v>
      </c>
      <c r="C69" s="6">
        <f>549+1951+4700+86</f>
        <v>7286</v>
      </c>
    </row>
    <row r="70" spans="1:3" s="3" customFormat="1" x14ac:dyDescent="0.2">
      <c r="A70" s="9" t="s">
        <v>72</v>
      </c>
      <c r="B70" s="11" t="s">
        <v>73</v>
      </c>
      <c r="C70" s="10">
        <f>SUM(C71:C76)</f>
        <v>312754</v>
      </c>
    </row>
    <row r="71" spans="1:3" ht="25.5" x14ac:dyDescent="0.2">
      <c r="A71" s="1" t="s">
        <v>166</v>
      </c>
      <c r="B71" s="2" t="s">
        <v>167</v>
      </c>
      <c r="C71" s="6">
        <f>15531+6010+1546</f>
        <v>23087</v>
      </c>
    </row>
    <row r="72" spans="1:3" ht="76.5" x14ac:dyDescent="0.2">
      <c r="A72" s="1" t="s">
        <v>75</v>
      </c>
      <c r="B72" s="2" t="s">
        <v>74</v>
      </c>
      <c r="C72" s="6">
        <f>20000+1000+4000+9039+1085</f>
        <v>35124</v>
      </c>
    </row>
    <row r="73" spans="1:3" ht="38.25" x14ac:dyDescent="0.2">
      <c r="A73" s="1" t="s">
        <v>76</v>
      </c>
      <c r="B73" s="2" t="s">
        <v>77</v>
      </c>
      <c r="C73" s="6">
        <f>15000+5000+6900+2892</f>
        <v>29792</v>
      </c>
    </row>
    <row r="74" spans="1:3" ht="38.25" x14ac:dyDescent="0.2">
      <c r="A74" s="1" t="s">
        <v>168</v>
      </c>
      <c r="B74" s="2" t="s">
        <v>169</v>
      </c>
      <c r="C74" s="6">
        <f>1211+685+6800+61</f>
        <v>8757</v>
      </c>
    </row>
    <row r="75" spans="1:3" ht="63.75" x14ac:dyDescent="0.2">
      <c r="A75" s="1" t="s">
        <v>128</v>
      </c>
      <c r="B75" s="2" t="s">
        <v>129</v>
      </c>
      <c r="C75" s="6">
        <f>50000+114088+33989+17084</f>
        <v>215161</v>
      </c>
    </row>
    <row r="76" spans="1:3" ht="51" x14ac:dyDescent="0.2">
      <c r="A76" s="1" t="s">
        <v>297</v>
      </c>
      <c r="B76" s="2" t="s">
        <v>298</v>
      </c>
      <c r="C76" s="6">
        <f>1733+125-1025</f>
        <v>833</v>
      </c>
    </row>
    <row r="77" spans="1:3" s="3" customFormat="1" x14ac:dyDescent="0.2">
      <c r="A77" s="9" t="s">
        <v>79</v>
      </c>
      <c r="B77" s="11" t="s">
        <v>78</v>
      </c>
      <c r="C77" s="10">
        <f>C81+C78+C80+C79+C82</f>
        <v>21490</v>
      </c>
    </row>
    <row r="78" spans="1:3" s="3" customFormat="1" ht="25.5" x14ac:dyDescent="0.2">
      <c r="A78" s="1" t="s">
        <v>201</v>
      </c>
      <c r="B78" s="2" t="s">
        <v>204</v>
      </c>
      <c r="C78" s="6">
        <f>2000+3877+847-212+666</f>
        <v>7178</v>
      </c>
    </row>
    <row r="79" spans="1:3" s="3" customFormat="1" ht="38.25" x14ac:dyDescent="0.2">
      <c r="A79" s="1" t="s">
        <v>238</v>
      </c>
      <c r="B79" s="2" t="s">
        <v>239</v>
      </c>
      <c r="C79" s="6">
        <f>682+918+101+368</f>
        <v>2069</v>
      </c>
    </row>
    <row r="80" spans="1:3" s="3" customFormat="1" ht="89.25" x14ac:dyDescent="0.2">
      <c r="A80" s="1" t="s">
        <v>202</v>
      </c>
      <c r="B80" s="2" t="s">
        <v>203</v>
      </c>
      <c r="C80" s="6">
        <f>1091+919+1908+2859+391</f>
        <v>7168</v>
      </c>
    </row>
    <row r="81" spans="1:3" ht="13.15" customHeight="1" x14ac:dyDescent="0.2">
      <c r="A81" s="1" t="s">
        <v>311</v>
      </c>
      <c r="B81" s="2" t="s">
        <v>312</v>
      </c>
      <c r="C81" s="6">
        <f>231+530+31</f>
        <v>792</v>
      </c>
    </row>
    <row r="82" spans="1:3" ht="13.15" customHeight="1" x14ac:dyDescent="0.2">
      <c r="A82" s="1" t="s">
        <v>331</v>
      </c>
      <c r="B82" s="2" t="s">
        <v>332</v>
      </c>
      <c r="C82" s="6">
        <f>3861+212+210</f>
        <v>4283</v>
      </c>
    </row>
    <row r="83" spans="1:3" s="3" customFormat="1" x14ac:dyDescent="0.2">
      <c r="A83" s="9" t="s">
        <v>81</v>
      </c>
      <c r="B83" s="11" t="s">
        <v>80</v>
      </c>
      <c r="C83" s="10">
        <f>C84</f>
        <v>35364</v>
      </c>
    </row>
    <row r="84" spans="1:3" x14ac:dyDescent="0.2">
      <c r="A84" s="1" t="s">
        <v>82</v>
      </c>
      <c r="B84" s="2" t="s">
        <v>83</v>
      </c>
      <c r="C84" s="6">
        <f>32934+103179-100749</f>
        <v>35364</v>
      </c>
    </row>
    <row r="85" spans="1:3" s="3" customFormat="1" x14ac:dyDescent="0.2">
      <c r="A85" s="9"/>
      <c r="B85" s="11" t="s">
        <v>84</v>
      </c>
      <c r="C85" s="10">
        <f>C43+C61+C70+C77+C83+C66</f>
        <v>686223</v>
      </c>
    </row>
    <row r="86" spans="1:3" s="3" customFormat="1" x14ac:dyDescent="0.2">
      <c r="A86" s="9" t="s">
        <v>86</v>
      </c>
      <c r="B86" s="11" t="s">
        <v>85</v>
      </c>
      <c r="C86" s="10">
        <f>C87+C184</f>
        <v>6936925</v>
      </c>
    </row>
    <row r="87" spans="1:3" s="3" customFormat="1" ht="25.5" x14ac:dyDescent="0.2">
      <c r="A87" s="9" t="s">
        <v>87</v>
      </c>
      <c r="B87" s="11" t="s">
        <v>88</v>
      </c>
      <c r="C87" s="10">
        <f>C88+C93+C146+C169</f>
        <v>6936925</v>
      </c>
    </row>
    <row r="88" spans="1:3" s="3" customFormat="1" x14ac:dyDescent="0.2">
      <c r="A88" s="9" t="s">
        <v>89</v>
      </c>
      <c r="B88" s="11" t="s">
        <v>108</v>
      </c>
      <c r="C88" s="10">
        <f>C89+C91+C90+C92</f>
        <v>129190</v>
      </c>
    </row>
    <row r="89" spans="1:3" ht="25.5" hidden="1" x14ac:dyDescent="0.2">
      <c r="A89" s="1" t="s">
        <v>90</v>
      </c>
      <c r="B89" s="2" t="s">
        <v>125</v>
      </c>
      <c r="C89" s="6"/>
    </row>
    <row r="90" spans="1:3" ht="38.25" x14ac:dyDescent="0.2">
      <c r="A90" s="1" t="s">
        <v>333</v>
      </c>
      <c r="B90" s="2" t="s">
        <v>334</v>
      </c>
      <c r="C90" s="6">
        <v>5533</v>
      </c>
    </row>
    <row r="91" spans="1:3" ht="51" x14ac:dyDescent="0.2">
      <c r="A91" s="1" t="s">
        <v>325</v>
      </c>
      <c r="B91" s="2" t="s">
        <v>323</v>
      </c>
      <c r="C91" s="6">
        <v>23657</v>
      </c>
    </row>
    <row r="92" spans="1:3" x14ac:dyDescent="0.2">
      <c r="A92" s="1" t="s">
        <v>337</v>
      </c>
      <c r="B92" s="2" t="s">
        <v>338</v>
      </c>
      <c r="C92" s="6">
        <v>100000</v>
      </c>
    </row>
    <row r="93" spans="1:3" s="3" customFormat="1" ht="25.5" x14ac:dyDescent="0.2">
      <c r="A93" s="9" t="s">
        <v>91</v>
      </c>
      <c r="B93" s="11" t="s">
        <v>109</v>
      </c>
      <c r="C93" s="10">
        <f>SUM(C94:C145)</f>
        <v>3207402</v>
      </c>
    </row>
    <row r="94" spans="1:3" ht="25.5" hidden="1" x14ac:dyDescent="0.2">
      <c r="A94" s="1" t="s">
        <v>134</v>
      </c>
      <c r="B94" s="2" t="s">
        <v>133</v>
      </c>
      <c r="C94" s="6"/>
    </row>
    <row r="95" spans="1:3" ht="51" hidden="1" x14ac:dyDescent="0.2">
      <c r="A95" s="1" t="s">
        <v>174</v>
      </c>
      <c r="B95" s="2" t="s">
        <v>173</v>
      </c>
      <c r="C95" s="6"/>
    </row>
    <row r="96" spans="1:3" ht="114.75" x14ac:dyDescent="0.2">
      <c r="A96" s="1" t="s">
        <v>224</v>
      </c>
      <c r="B96" s="2" t="s">
        <v>215</v>
      </c>
      <c r="C96" s="6">
        <f>8855-1186</f>
        <v>7669</v>
      </c>
    </row>
    <row r="97" spans="1:3" ht="102" x14ac:dyDescent="0.2">
      <c r="A97" s="1" t="s">
        <v>224</v>
      </c>
      <c r="B97" s="2" t="s">
        <v>242</v>
      </c>
      <c r="C97" s="6">
        <v>15017</v>
      </c>
    </row>
    <row r="98" spans="1:3" ht="25.5" x14ac:dyDescent="0.2">
      <c r="A98" s="1" t="s">
        <v>135</v>
      </c>
      <c r="B98" s="2" t="s">
        <v>225</v>
      </c>
      <c r="C98" s="6">
        <v>561</v>
      </c>
    </row>
    <row r="99" spans="1:3" ht="38.25" x14ac:dyDescent="0.2">
      <c r="A99" s="1" t="s">
        <v>137</v>
      </c>
      <c r="B99" s="2" t="s">
        <v>136</v>
      </c>
      <c r="C99" s="6">
        <v>113025</v>
      </c>
    </row>
    <row r="100" spans="1:3" ht="25.5" x14ac:dyDescent="0.2">
      <c r="A100" s="1" t="s">
        <v>163</v>
      </c>
      <c r="B100" s="2" t="s">
        <v>164</v>
      </c>
      <c r="C100" s="6">
        <f>38672+1445</f>
        <v>40117</v>
      </c>
    </row>
    <row r="101" spans="1:3" ht="38.25" x14ac:dyDescent="0.2">
      <c r="A101" s="1" t="s">
        <v>175</v>
      </c>
      <c r="B101" s="2" t="s">
        <v>243</v>
      </c>
      <c r="C101" s="6">
        <v>774</v>
      </c>
    </row>
    <row r="102" spans="1:3" ht="38.25" x14ac:dyDescent="0.2">
      <c r="A102" s="1" t="s">
        <v>138</v>
      </c>
      <c r="B102" s="2" t="s">
        <v>244</v>
      </c>
      <c r="C102" s="6">
        <v>41594</v>
      </c>
    </row>
    <row r="103" spans="1:3" ht="51" hidden="1" x14ac:dyDescent="0.2">
      <c r="A103" s="1" t="s">
        <v>227</v>
      </c>
      <c r="B103" s="2" t="s">
        <v>228</v>
      </c>
      <c r="C103" s="6"/>
    </row>
    <row r="104" spans="1:3" ht="38.25" x14ac:dyDescent="0.2">
      <c r="A104" s="1" t="s">
        <v>245</v>
      </c>
      <c r="B104" s="2" t="s">
        <v>246</v>
      </c>
      <c r="C104" s="6">
        <f>4224+3241-99</f>
        <v>7366</v>
      </c>
    </row>
    <row r="105" spans="1:3" ht="102" x14ac:dyDescent="0.2">
      <c r="A105" s="1" t="s">
        <v>279</v>
      </c>
      <c r="B105" s="2" t="s">
        <v>280</v>
      </c>
      <c r="C105" s="6">
        <f>12586-755</f>
        <v>11831</v>
      </c>
    </row>
    <row r="106" spans="1:3" ht="38.25" x14ac:dyDescent="0.2">
      <c r="A106" s="1" t="s">
        <v>226</v>
      </c>
      <c r="B106" s="2" t="s">
        <v>171</v>
      </c>
      <c r="C106" s="6">
        <f>124951+113777</f>
        <v>238728</v>
      </c>
    </row>
    <row r="107" spans="1:3" ht="51" x14ac:dyDescent="0.2">
      <c r="A107" s="1" t="s">
        <v>326</v>
      </c>
      <c r="B107" s="2" t="s">
        <v>327</v>
      </c>
      <c r="C107" s="6">
        <f>55-55</f>
        <v>0</v>
      </c>
    </row>
    <row r="108" spans="1:3" ht="25.5" x14ac:dyDescent="0.2">
      <c r="A108" s="1" t="s">
        <v>265</v>
      </c>
      <c r="B108" s="2" t="s">
        <v>266</v>
      </c>
      <c r="C108" s="6">
        <f>300717-81038-41052-1301</f>
        <v>177326</v>
      </c>
    </row>
    <row r="109" spans="1:3" ht="25.5" x14ac:dyDescent="0.2">
      <c r="A109" s="1" t="s">
        <v>313</v>
      </c>
      <c r="B109" s="2" t="s">
        <v>315</v>
      </c>
      <c r="C109" s="6">
        <v>1079</v>
      </c>
    </row>
    <row r="110" spans="1:3" ht="25.5" x14ac:dyDescent="0.2">
      <c r="A110" s="1" t="s">
        <v>314</v>
      </c>
      <c r="B110" s="2" t="s">
        <v>316</v>
      </c>
      <c r="C110" s="6">
        <v>41052</v>
      </c>
    </row>
    <row r="111" spans="1:3" ht="38.25" x14ac:dyDescent="0.2">
      <c r="A111" s="1" t="s">
        <v>335</v>
      </c>
      <c r="B111" s="2" t="s">
        <v>336</v>
      </c>
      <c r="C111" s="6">
        <v>2823</v>
      </c>
    </row>
    <row r="112" spans="1:3" ht="25.5" x14ac:dyDescent="0.2">
      <c r="A112" s="1" t="s">
        <v>176</v>
      </c>
      <c r="B112" s="2" t="s">
        <v>200</v>
      </c>
      <c r="C112" s="6">
        <f>192652+517+13665-71547</f>
        <v>135287</v>
      </c>
    </row>
    <row r="113" spans="1:3" ht="25.5" x14ac:dyDescent="0.2">
      <c r="A113" s="1" t="s">
        <v>317</v>
      </c>
      <c r="B113" s="2" t="s">
        <v>318</v>
      </c>
      <c r="C113" s="6">
        <f>1820+7885</f>
        <v>9705</v>
      </c>
    </row>
    <row r="114" spans="1:3" ht="25.5" x14ac:dyDescent="0.2">
      <c r="A114" s="1" t="s">
        <v>291</v>
      </c>
      <c r="B114" s="2" t="s">
        <v>292</v>
      </c>
      <c r="C114" s="6">
        <v>10000</v>
      </c>
    </row>
    <row r="115" spans="1:3" ht="38.25" x14ac:dyDescent="0.2">
      <c r="A115" s="1" t="s">
        <v>140</v>
      </c>
      <c r="B115" s="2" t="s">
        <v>139</v>
      </c>
      <c r="C115" s="6">
        <f>97510-16343</f>
        <v>81167</v>
      </c>
    </row>
    <row r="116" spans="1:3" ht="51" hidden="1" x14ac:dyDescent="0.2">
      <c r="A116" s="1" t="s">
        <v>257</v>
      </c>
      <c r="B116" s="2" t="s">
        <v>258</v>
      </c>
      <c r="C116" s="6"/>
    </row>
    <row r="117" spans="1:3" x14ac:dyDescent="0.2">
      <c r="A117" s="1" t="s">
        <v>207</v>
      </c>
      <c r="B117" s="2" t="s">
        <v>208</v>
      </c>
      <c r="C117" s="6">
        <f>31710+55309</f>
        <v>87019</v>
      </c>
    </row>
    <row r="118" spans="1:3" x14ac:dyDescent="0.2">
      <c r="A118" s="1" t="s">
        <v>142</v>
      </c>
      <c r="B118" s="2" t="s">
        <v>141</v>
      </c>
      <c r="C118" s="6">
        <v>10574</v>
      </c>
    </row>
    <row r="119" spans="1:3" ht="38.25" x14ac:dyDescent="0.2">
      <c r="A119" s="1" t="s">
        <v>199</v>
      </c>
      <c r="B119" s="2" t="s">
        <v>217</v>
      </c>
      <c r="C119" s="6">
        <f>8512-1404</f>
        <v>7108</v>
      </c>
    </row>
    <row r="120" spans="1:3" ht="38.25" hidden="1" x14ac:dyDescent="0.2">
      <c r="A120" s="1" t="s">
        <v>143</v>
      </c>
      <c r="B120" s="2" t="s">
        <v>112</v>
      </c>
      <c r="C120" s="6"/>
    </row>
    <row r="121" spans="1:3" ht="89.25" x14ac:dyDescent="0.2">
      <c r="A121" s="1" t="s">
        <v>144</v>
      </c>
      <c r="B121" s="2" t="s">
        <v>218</v>
      </c>
      <c r="C121" s="6">
        <f>38262-9347-2463</f>
        <v>26452</v>
      </c>
    </row>
    <row r="122" spans="1:3" ht="25.5" x14ac:dyDescent="0.2">
      <c r="A122" s="1" t="s">
        <v>229</v>
      </c>
      <c r="B122" s="2" t="s">
        <v>230</v>
      </c>
      <c r="C122" s="6">
        <f>29333+29333-13689</f>
        <v>44977</v>
      </c>
    </row>
    <row r="123" spans="1:3" x14ac:dyDescent="0.2">
      <c r="A123" s="1" t="s">
        <v>321</v>
      </c>
      <c r="B123" s="2" t="s">
        <v>322</v>
      </c>
      <c r="C123" s="6">
        <v>4473</v>
      </c>
    </row>
    <row r="124" spans="1:3" ht="38.25" x14ac:dyDescent="0.2">
      <c r="A124" s="1" t="s">
        <v>198</v>
      </c>
      <c r="B124" s="2" t="s">
        <v>216</v>
      </c>
      <c r="C124" s="6">
        <f>228178-10279-51172</f>
        <v>166727</v>
      </c>
    </row>
    <row r="125" spans="1:3" ht="25.5" hidden="1" x14ac:dyDescent="0.2">
      <c r="A125" s="1" t="s">
        <v>259</v>
      </c>
      <c r="B125" s="2" t="s">
        <v>260</v>
      </c>
      <c r="C125" s="6"/>
    </row>
    <row r="126" spans="1:3" hidden="1" x14ac:dyDescent="0.2">
      <c r="A126" s="1" t="s">
        <v>261</v>
      </c>
      <c r="B126" s="2" t="s">
        <v>262</v>
      </c>
      <c r="C126" s="6"/>
    </row>
    <row r="127" spans="1:3" ht="51" x14ac:dyDescent="0.2">
      <c r="A127" s="1" t="s">
        <v>145</v>
      </c>
      <c r="B127" s="2" t="s">
        <v>219</v>
      </c>
      <c r="C127" s="6">
        <f>55650+6408+4000-7</f>
        <v>66051</v>
      </c>
    </row>
    <row r="128" spans="1:3" hidden="1" x14ac:dyDescent="0.2">
      <c r="A128" s="1" t="s">
        <v>263</v>
      </c>
      <c r="B128" s="2" t="s">
        <v>264</v>
      </c>
      <c r="C128" s="6"/>
    </row>
    <row r="129" spans="1:3" ht="25.5" x14ac:dyDescent="0.2">
      <c r="A129" s="1" t="s">
        <v>197</v>
      </c>
      <c r="B129" s="2" t="s">
        <v>206</v>
      </c>
      <c r="C129" s="6">
        <f>36000+18000-8400</f>
        <v>45600</v>
      </c>
    </row>
    <row r="130" spans="1:3" ht="25.5" x14ac:dyDescent="0.2">
      <c r="A130" s="1" t="s">
        <v>319</v>
      </c>
      <c r="B130" s="2" t="s">
        <v>320</v>
      </c>
      <c r="C130" s="6">
        <f>17474+92</f>
        <v>17566</v>
      </c>
    </row>
    <row r="131" spans="1:3" ht="25.5" x14ac:dyDescent="0.2">
      <c r="A131" s="1" t="s">
        <v>324</v>
      </c>
      <c r="B131" s="2" t="s">
        <v>133</v>
      </c>
      <c r="C131" s="6">
        <v>17237</v>
      </c>
    </row>
    <row r="132" spans="1:3" x14ac:dyDescent="0.2">
      <c r="A132" s="1" t="s">
        <v>247</v>
      </c>
      <c r="B132" s="2" t="s">
        <v>248</v>
      </c>
      <c r="C132" s="6">
        <v>95000</v>
      </c>
    </row>
    <row r="133" spans="1:3" x14ac:dyDescent="0.2">
      <c r="A133" s="1" t="s">
        <v>177</v>
      </c>
      <c r="B133" s="2" t="s">
        <v>178</v>
      </c>
      <c r="C133" s="6">
        <f>381270-37050+7410</f>
        <v>351630</v>
      </c>
    </row>
    <row r="134" spans="1:3" ht="25.5" x14ac:dyDescent="0.2">
      <c r="A134" s="1" t="s">
        <v>179</v>
      </c>
      <c r="B134" s="2" t="s">
        <v>182</v>
      </c>
      <c r="C134" s="6">
        <f>1158328-1-206990</f>
        <v>951337</v>
      </c>
    </row>
    <row r="135" spans="1:3" ht="25.5" x14ac:dyDescent="0.2">
      <c r="A135" s="1" t="s">
        <v>180</v>
      </c>
      <c r="B135" s="2" t="s">
        <v>183</v>
      </c>
      <c r="C135" s="6">
        <f>36243+23400-9847</f>
        <v>49796</v>
      </c>
    </row>
    <row r="136" spans="1:3" ht="38.25" x14ac:dyDescent="0.2">
      <c r="A136" s="1" t="s">
        <v>181</v>
      </c>
      <c r="B136" s="2" t="s">
        <v>220</v>
      </c>
      <c r="C136" s="6">
        <f>87286-39417</f>
        <v>47869</v>
      </c>
    </row>
    <row r="137" spans="1:3" ht="25.5" hidden="1" x14ac:dyDescent="0.2">
      <c r="A137" s="1" t="s">
        <v>249</v>
      </c>
      <c r="B137" s="2" t="s">
        <v>250</v>
      </c>
      <c r="C137" s="6"/>
    </row>
    <row r="138" spans="1:3" ht="38.25" x14ac:dyDescent="0.2">
      <c r="A138" s="1" t="s">
        <v>251</v>
      </c>
      <c r="B138" s="2" t="s">
        <v>252</v>
      </c>
      <c r="C138" s="6">
        <f>12137-2960</f>
        <v>9177</v>
      </c>
    </row>
    <row r="139" spans="1:3" ht="25.5" x14ac:dyDescent="0.2">
      <c r="A139" s="1" t="s">
        <v>146</v>
      </c>
      <c r="B139" s="2" t="s">
        <v>267</v>
      </c>
      <c r="C139" s="6">
        <f>36224+6803-5523-37504</f>
        <v>0</v>
      </c>
    </row>
    <row r="140" spans="1:3" x14ac:dyDescent="0.2">
      <c r="A140" s="1" t="s">
        <v>253</v>
      </c>
      <c r="B140" s="2" t="s">
        <v>254</v>
      </c>
      <c r="C140" s="6">
        <f>25600+17455-1343</f>
        <v>41712</v>
      </c>
    </row>
    <row r="141" spans="1:3" ht="38.25" x14ac:dyDescent="0.2">
      <c r="A141" s="1" t="s">
        <v>299</v>
      </c>
      <c r="B141" s="2" t="s">
        <v>300</v>
      </c>
      <c r="C141" s="6">
        <f>11613-11613</f>
        <v>0</v>
      </c>
    </row>
    <row r="142" spans="1:3" ht="25.5" x14ac:dyDescent="0.2">
      <c r="A142" s="1" t="s">
        <v>301</v>
      </c>
      <c r="B142" s="2" t="s">
        <v>302</v>
      </c>
      <c r="C142" s="6">
        <f>5523+32683</f>
        <v>38206</v>
      </c>
    </row>
    <row r="143" spans="1:3" ht="25.5" x14ac:dyDescent="0.2">
      <c r="A143" s="1" t="s">
        <v>303</v>
      </c>
      <c r="B143" s="2" t="s">
        <v>304</v>
      </c>
      <c r="C143" s="6">
        <f>29987+1816-1331</f>
        <v>30472</v>
      </c>
    </row>
    <row r="144" spans="1:3" ht="25.5" x14ac:dyDescent="0.2">
      <c r="A144" s="1" t="s">
        <v>281</v>
      </c>
      <c r="B144" s="2" t="s">
        <v>282</v>
      </c>
      <c r="C144" s="6">
        <v>163298</v>
      </c>
    </row>
    <row r="145" spans="1:3" ht="25.5" x14ac:dyDescent="0.2">
      <c r="A145" s="1" t="s">
        <v>209</v>
      </c>
      <c r="B145" s="2" t="s">
        <v>268</v>
      </c>
      <c r="C145" s="6">
        <f>11613-11613</f>
        <v>0</v>
      </c>
    </row>
    <row r="146" spans="1:3" s="3" customFormat="1" ht="25.5" x14ac:dyDescent="0.2">
      <c r="A146" s="9" t="s">
        <v>92</v>
      </c>
      <c r="B146" s="11" t="s">
        <v>110</v>
      </c>
      <c r="C146" s="10">
        <f>SUM(C147:C168)</f>
        <v>3335946</v>
      </c>
    </row>
    <row r="147" spans="1:3" ht="25.5" hidden="1" x14ac:dyDescent="0.2">
      <c r="A147" s="1" t="s">
        <v>149</v>
      </c>
      <c r="B147" s="2" t="s">
        <v>147</v>
      </c>
      <c r="C147" s="6"/>
    </row>
    <row r="148" spans="1:3" ht="25.5" hidden="1" x14ac:dyDescent="0.2">
      <c r="A148" s="1" t="s">
        <v>150</v>
      </c>
      <c r="B148" s="2" t="s">
        <v>148</v>
      </c>
      <c r="C148" s="6"/>
    </row>
    <row r="149" spans="1:3" ht="51" x14ac:dyDescent="0.2">
      <c r="A149" s="1" t="s">
        <v>151</v>
      </c>
      <c r="B149" s="2" t="s">
        <v>184</v>
      </c>
      <c r="C149" s="6">
        <v>10573</v>
      </c>
    </row>
    <row r="150" spans="1:3" ht="38.25" x14ac:dyDescent="0.2">
      <c r="A150" s="1" t="s">
        <v>152</v>
      </c>
      <c r="B150" s="2" t="s">
        <v>185</v>
      </c>
      <c r="C150" s="6">
        <f>7677+1590</f>
        <v>9267</v>
      </c>
    </row>
    <row r="151" spans="1:3" ht="51" x14ac:dyDescent="0.2">
      <c r="A151" s="1" t="s">
        <v>195</v>
      </c>
      <c r="B151" s="2" t="s">
        <v>196</v>
      </c>
      <c r="C151" s="6">
        <f>856-856</f>
        <v>0</v>
      </c>
    </row>
    <row r="152" spans="1:3" ht="76.5" x14ac:dyDescent="0.2">
      <c r="A152" s="1" t="s">
        <v>186</v>
      </c>
      <c r="B152" s="2" t="s">
        <v>231</v>
      </c>
      <c r="C152" s="6">
        <f>1207+347</f>
        <v>1554</v>
      </c>
    </row>
    <row r="153" spans="1:3" ht="38.25" x14ac:dyDescent="0.2">
      <c r="A153" s="1" t="s">
        <v>156</v>
      </c>
      <c r="B153" s="2" t="s">
        <v>221</v>
      </c>
      <c r="C153" s="6">
        <f>87-24</f>
        <v>63</v>
      </c>
    </row>
    <row r="154" spans="1:3" ht="38.25" x14ac:dyDescent="0.2">
      <c r="A154" s="1" t="s">
        <v>157</v>
      </c>
      <c r="B154" s="2" t="s">
        <v>153</v>
      </c>
      <c r="C154" s="6">
        <v>1215</v>
      </c>
    </row>
    <row r="155" spans="1:3" ht="51" x14ac:dyDescent="0.2">
      <c r="A155" s="1" t="s">
        <v>158</v>
      </c>
      <c r="B155" s="2" t="s">
        <v>154</v>
      </c>
      <c r="C155" s="6">
        <v>1864</v>
      </c>
    </row>
    <row r="156" spans="1:3" ht="51" x14ac:dyDescent="0.2">
      <c r="A156" s="1" t="s">
        <v>255</v>
      </c>
      <c r="B156" s="2" t="s">
        <v>256</v>
      </c>
      <c r="C156" s="6">
        <v>28506</v>
      </c>
    </row>
    <row r="157" spans="1:3" ht="51" x14ac:dyDescent="0.2">
      <c r="A157" s="1" t="s">
        <v>278</v>
      </c>
      <c r="B157" s="2" t="s">
        <v>161</v>
      </c>
      <c r="C157" s="6">
        <f>54459-7750</f>
        <v>46709</v>
      </c>
    </row>
    <row r="158" spans="1:3" ht="51" hidden="1" x14ac:dyDescent="0.2">
      <c r="A158" s="1" t="s">
        <v>159</v>
      </c>
      <c r="B158" s="2" t="s">
        <v>155</v>
      </c>
      <c r="C158" s="6"/>
    </row>
    <row r="159" spans="1:3" ht="38.25" x14ac:dyDescent="0.2">
      <c r="A159" s="1" t="s">
        <v>160</v>
      </c>
      <c r="B159" s="2" t="s">
        <v>172</v>
      </c>
      <c r="C159" s="6">
        <f>2+3</f>
        <v>5</v>
      </c>
    </row>
    <row r="160" spans="1:3" ht="191.25" x14ac:dyDescent="0.2">
      <c r="A160" s="1" t="s">
        <v>232</v>
      </c>
      <c r="B160" s="2" t="s">
        <v>233</v>
      </c>
      <c r="C160" s="6">
        <v>5863</v>
      </c>
    </row>
    <row r="161" spans="1:3" ht="178.5" x14ac:dyDescent="0.2">
      <c r="A161" s="1" t="s">
        <v>189</v>
      </c>
      <c r="B161" s="2" t="s">
        <v>234</v>
      </c>
      <c r="C161" s="6">
        <f>60413+11500+36976+781</f>
        <v>109670</v>
      </c>
    </row>
    <row r="162" spans="1:3" ht="38.25" x14ac:dyDescent="0.2">
      <c r="A162" s="1" t="s">
        <v>305</v>
      </c>
      <c r="B162" s="2" t="s">
        <v>306</v>
      </c>
      <c r="C162" s="6">
        <f>5600+5600-1624</f>
        <v>9576</v>
      </c>
    </row>
    <row r="163" spans="1:3" ht="140.25" x14ac:dyDescent="0.2">
      <c r="A163" s="1" t="s">
        <v>187</v>
      </c>
      <c r="B163" s="2" t="s">
        <v>222</v>
      </c>
      <c r="C163" s="6">
        <f>2821400+63914+24224+1072</f>
        <v>2910610</v>
      </c>
    </row>
    <row r="164" spans="1:3" ht="178.5" x14ac:dyDescent="0.2">
      <c r="A164" s="1" t="s">
        <v>188</v>
      </c>
      <c r="B164" s="2" t="s">
        <v>223</v>
      </c>
      <c r="C164" s="6">
        <f>115685+3572-399+4748</f>
        <v>123606</v>
      </c>
    </row>
    <row r="165" spans="1:3" ht="63.75" x14ac:dyDescent="0.2">
      <c r="A165" s="1" t="s">
        <v>269</v>
      </c>
      <c r="B165" s="2" t="s">
        <v>273</v>
      </c>
      <c r="C165" s="6">
        <f>1454+46</f>
        <v>1500</v>
      </c>
    </row>
    <row r="166" spans="1:3" ht="25.5" x14ac:dyDescent="0.2">
      <c r="A166" s="1" t="s">
        <v>270</v>
      </c>
      <c r="B166" s="2" t="s">
        <v>274</v>
      </c>
      <c r="C166" s="6">
        <f>35883-2757+28000-624</f>
        <v>60502</v>
      </c>
    </row>
    <row r="167" spans="1:3" ht="38.25" x14ac:dyDescent="0.2">
      <c r="A167" s="1" t="s">
        <v>271</v>
      </c>
      <c r="B167" s="2" t="s">
        <v>275</v>
      </c>
      <c r="C167" s="6">
        <f>1950+2600</f>
        <v>4550</v>
      </c>
    </row>
    <row r="168" spans="1:3" ht="63.75" x14ac:dyDescent="0.2">
      <c r="A168" s="1" t="s">
        <v>272</v>
      </c>
      <c r="B168" s="2" t="s">
        <v>276</v>
      </c>
      <c r="C168" s="6">
        <f>10474+1082-1243</f>
        <v>10313</v>
      </c>
    </row>
    <row r="169" spans="1:3" s="3" customFormat="1" x14ac:dyDescent="0.2">
      <c r="A169" s="9" t="s">
        <v>93</v>
      </c>
      <c r="B169" s="11" t="s">
        <v>94</v>
      </c>
      <c r="C169" s="10">
        <f>SUM(C170:C183)</f>
        <v>264387</v>
      </c>
    </row>
    <row r="170" spans="1:3" ht="102" x14ac:dyDescent="0.2">
      <c r="A170" s="1" t="s">
        <v>328</v>
      </c>
      <c r="B170" s="2" t="s">
        <v>329</v>
      </c>
      <c r="C170" s="6">
        <v>651</v>
      </c>
    </row>
    <row r="171" spans="1:3" ht="25.5" x14ac:dyDescent="0.2">
      <c r="A171" s="1" t="s">
        <v>193</v>
      </c>
      <c r="B171" s="2" t="s">
        <v>192</v>
      </c>
      <c r="C171" s="6">
        <v>134</v>
      </c>
    </row>
    <row r="172" spans="1:3" ht="38.25" x14ac:dyDescent="0.2">
      <c r="A172" s="1" t="s">
        <v>240</v>
      </c>
      <c r="B172" s="2" t="s">
        <v>330</v>
      </c>
      <c r="C172" s="6">
        <f>41441+2633</f>
        <v>44074</v>
      </c>
    </row>
    <row r="173" spans="1:3" ht="38.25" x14ac:dyDescent="0.2">
      <c r="A173" s="1" t="s">
        <v>194</v>
      </c>
      <c r="B173" s="2" t="s">
        <v>235</v>
      </c>
      <c r="C173" s="6">
        <v>500</v>
      </c>
    </row>
    <row r="174" spans="1:3" ht="25.5" hidden="1" x14ac:dyDescent="0.2">
      <c r="A174" s="1" t="s">
        <v>190</v>
      </c>
      <c r="B174" s="2" t="s">
        <v>191</v>
      </c>
      <c r="C174" s="6"/>
    </row>
    <row r="175" spans="1:3" ht="63.75" x14ac:dyDescent="0.2">
      <c r="A175" s="1" t="s">
        <v>283</v>
      </c>
      <c r="B175" s="2" t="s">
        <v>284</v>
      </c>
      <c r="C175" s="6">
        <v>3016</v>
      </c>
    </row>
    <row r="176" spans="1:3" ht="51" x14ac:dyDescent="0.2">
      <c r="A176" s="1" t="s">
        <v>286</v>
      </c>
      <c r="B176" s="2" t="s">
        <v>285</v>
      </c>
      <c r="C176" s="6">
        <f>60222+23999+28857-2658</f>
        <v>110420</v>
      </c>
    </row>
    <row r="177" spans="1:3" ht="38.25" x14ac:dyDescent="0.2">
      <c r="A177" s="1" t="s">
        <v>307</v>
      </c>
      <c r="B177" s="2" t="s">
        <v>308</v>
      </c>
      <c r="C177" s="6">
        <v>2600</v>
      </c>
    </row>
    <row r="178" spans="1:3" ht="38.25" x14ac:dyDescent="0.2">
      <c r="A178" s="1" t="s">
        <v>162</v>
      </c>
      <c r="B178" s="2" t="s">
        <v>210</v>
      </c>
      <c r="C178" s="6">
        <f>2000-500</f>
        <v>1500</v>
      </c>
    </row>
    <row r="179" spans="1:3" ht="63.75" x14ac:dyDescent="0.2">
      <c r="A179" s="1" t="s">
        <v>293</v>
      </c>
      <c r="B179" s="2" t="s">
        <v>294</v>
      </c>
      <c r="C179" s="6">
        <f>31778-10278</f>
        <v>21500</v>
      </c>
    </row>
    <row r="180" spans="1:3" ht="51" x14ac:dyDescent="0.2">
      <c r="A180" s="1" t="s">
        <v>309</v>
      </c>
      <c r="B180" s="2" t="s">
        <v>310</v>
      </c>
      <c r="C180" s="6">
        <f>4629+3375</f>
        <v>8004</v>
      </c>
    </row>
    <row r="181" spans="1:3" ht="38.25" x14ac:dyDescent="0.2">
      <c r="A181" s="1" t="s">
        <v>287</v>
      </c>
      <c r="B181" s="2" t="s">
        <v>289</v>
      </c>
      <c r="C181" s="6">
        <f>10562+3051</f>
        <v>13613</v>
      </c>
    </row>
    <row r="182" spans="1:3" ht="38.25" x14ac:dyDescent="0.2">
      <c r="A182" s="1" t="s">
        <v>288</v>
      </c>
      <c r="B182" s="2" t="s">
        <v>290</v>
      </c>
      <c r="C182" s="6">
        <f>22190+38808-2623</f>
        <v>58375</v>
      </c>
    </row>
    <row r="183" spans="1:3" ht="25.5" hidden="1" x14ac:dyDescent="0.2">
      <c r="A183" s="1" t="s">
        <v>211</v>
      </c>
      <c r="B183" s="2" t="s">
        <v>212</v>
      </c>
      <c r="C183" s="6"/>
    </row>
    <row r="184" spans="1:3" s="3" customFormat="1" hidden="1" x14ac:dyDescent="0.2">
      <c r="A184" s="9" t="s">
        <v>111</v>
      </c>
      <c r="B184" s="11" t="s">
        <v>95</v>
      </c>
      <c r="C184" s="10">
        <f>C185</f>
        <v>0</v>
      </c>
    </row>
    <row r="185" spans="1:3" hidden="1" x14ac:dyDescent="0.2">
      <c r="A185" s="1" t="s">
        <v>103</v>
      </c>
      <c r="B185" s="2" t="s">
        <v>96</v>
      </c>
      <c r="C185" s="6"/>
    </row>
    <row r="186" spans="1:3" s="3" customFormat="1" x14ac:dyDescent="0.2">
      <c r="A186" s="9"/>
      <c r="B186" s="8" t="s">
        <v>97</v>
      </c>
      <c r="C186" s="10">
        <f>C42+C85+C86</f>
        <v>13439027</v>
      </c>
    </row>
    <row r="187" spans="1:3" x14ac:dyDescent="0.2">
      <c r="A187" s="14"/>
      <c r="B187" s="15"/>
      <c r="C187" s="16" t="s">
        <v>340</v>
      </c>
    </row>
    <row r="188" spans="1:3" x14ac:dyDescent="0.2">
      <c r="A188" s="14"/>
      <c r="B188" s="15"/>
    </row>
    <row r="189" spans="1:3" x14ac:dyDescent="0.2">
      <c r="A189" s="14"/>
      <c r="B189" s="15"/>
    </row>
    <row r="190" spans="1:3" x14ac:dyDescent="0.2">
      <c r="A190" s="14"/>
      <c r="B190" s="15"/>
    </row>
    <row r="191" spans="1:3" x14ac:dyDescent="0.2">
      <c r="A191" s="14"/>
      <c r="B191" s="15"/>
    </row>
    <row r="192" spans="1:3" x14ac:dyDescent="0.2">
      <c r="A192" s="14"/>
      <c r="B192" s="15"/>
    </row>
    <row r="193" spans="1:2" x14ac:dyDescent="0.2">
      <c r="A193" s="14"/>
      <c r="B193" s="15"/>
    </row>
    <row r="194" spans="1:2" x14ac:dyDescent="0.2">
      <c r="A194" s="14"/>
      <c r="B194" s="15"/>
    </row>
    <row r="195" spans="1:2" x14ac:dyDescent="0.2">
      <c r="A195" s="14"/>
      <c r="B195" s="15"/>
    </row>
    <row r="196" spans="1:2" x14ac:dyDescent="0.2">
      <c r="A196" s="14"/>
      <c r="B196" s="15"/>
    </row>
  </sheetData>
  <mergeCells count="12">
    <mergeCell ref="A14:C14"/>
    <mergeCell ref="B1:C1"/>
    <mergeCell ref="B2:C2"/>
    <mergeCell ref="B3:C3"/>
    <mergeCell ref="B4:C4"/>
    <mergeCell ref="B5:C5"/>
    <mergeCell ref="A13:C13"/>
    <mergeCell ref="B7:C7"/>
    <mergeCell ref="B8:C8"/>
    <mergeCell ref="B9:C9"/>
    <mergeCell ref="B10:C10"/>
    <mergeCell ref="B11:C11"/>
  </mergeCells>
  <pageMargins left="0.59055118110236227" right="0.39370078740157483" top="0.55118110236220474" bottom="0.55118110236220474" header="0.31496062992125984" footer="0.31496062992125984"/>
  <pageSetup paperSize="9" firstPageNumber="6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2024-12-25T12:55:49Z</dcterms:modified>
</cp:coreProperties>
</file>